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OneDrive\Documents\"/>
    </mc:Choice>
  </mc:AlternateContent>
  <bookViews>
    <workbookView xWindow="0" yWindow="0" windowWidth="19200" windowHeight="8508"/>
  </bookViews>
  <sheets>
    <sheet name="Simple Case" sheetId="2" r:id="rId1"/>
    <sheet name="Simple Case No Growth" sheetId="1" r:id="rId2"/>
    <sheet name="Simple Case - Growth" sheetId="7" r:id="rId3"/>
    <sheet name="Simple Case Impairment" sheetId="24" r:id="rId4"/>
    <sheet name="Simple Case Hedge" sheetId="26" r:id="rId5"/>
    <sheet name="Simple Case Gamble" sheetId="25" r:id="rId6"/>
    <sheet name="Accounts Payable not Debt" sheetId="17" r:id="rId7"/>
    <sheet name="AR With Growth" sheetId="16" r:id="rId8"/>
    <sheet name="AR No Growth" sheetId="15" r:id="rId9"/>
    <sheet name="AR one Period" sheetId="14" r:id="rId10"/>
    <sheet name="Deferred Tax with Growth" sheetId="12" r:id="rId11"/>
    <sheet name="Depreciation Growth" sheetId="9" r:id="rId12"/>
    <sheet name="Read of Samsung CF" sheetId="10" r:id="rId13"/>
    <sheet name="Samsung Cash Flow" sheetId="11" r:id="rId14"/>
    <sheet name="Depreciation No Growth" sheetId="8" r:id="rId15"/>
    <sheet name="Samsung Assets" sheetId="6" r:id="rId16"/>
    <sheet name="Interest Rate Swap Floating" sheetId="18" r:id="rId17"/>
    <sheet name="Interest Rate Swap Fixed" sheetId="19" r:id="rId18"/>
    <sheet name="Mark to Market Swap" sheetId="21" r:id="rId19"/>
    <sheet name="Mark to Market (2)" sheetId="23" r:id="rId20"/>
    <sheet name="Hedge Accounting" sheetId="20" r:id="rId21"/>
    <sheet name="Hedge Accounting (2)" sheetId="22" r:id="rId22"/>
    <sheet name="Derivative" sheetId="13" r:id="rId23"/>
    <sheet name="Foreign Exchange" sheetId="28" r:id="rId24"/>
    <sheet name="Minority Interest" sheetId="27" r:id="rId25"/>
    <sheet name="Translation to Currency" sheetId="3" r:id="rId26"/>
    <sheet name="Practice Exam Question 8 " sheetId="60" r:id="rId27"/>
    <sheet name="Final Exam - Question 1" sheetId="31" r:id="rId28"/>
    <sheet name="Final Exam Question 2" sheetId="55" r:id="rId29"/>
    <sheet name="Final Exam Question 3" sheetId="34" r:id="rId30"/>
    <sheet name="Final Exam Question 4" sheetId="39" r:id="rId31"/>
    <sheet name="Final Exam Question 5" sheetId="42" r:id="rId32"/>
    <sheet name="Final Exam Question 6" sheetId="41" r:id="rId33"/>
    <sheet name="Final Exam 11" sheetId="52" r:id="rId34"/>
    <sheet name="Final Exam 12" sheetId="59" r:id="rId35"/>
    <sheet name="Final M&amp;A Question" sheetId="47" r:id="rId36"/>
    <sheet name="Final Exam Net Debt" sheetId="44" r:id="rId37"/>
    <sheet name="Practice Exam 2" sheetId="32" r:id="rId38"/>
    <sheet name="Practice Exam 3" sheetId="33" r:id="rId39"/>
    <sheet name="Practice Exam 5" sheetId="29" r:id="rId40"/>
    <sheet name="Practice Exam 6" sheetId="35" r:id="rId41"/>
    <sheet name="Practice Exam 7" sheetId="36" r:id="rId42"/>
    <sheet name="Practice Exam 10" sheetId="43" r:id="rId43"/>
    <sheet name="Practice Exam 12" sheetId="45" r:id="rId44"/>
    <sheet name="Practice Exam 13" sheetId="48" r:id="rId45"/>
    <sheet name="Practice Exam 14" sheetId="53" r:id="rId46"/>
    <sheet name="Practice Exam 15" sheetId="51" r:id="rId47"/>
    <sheet name="Practice Exam 20" sheetId="30" r:id="rId48"/>
    <sheet name="Practice Exam FFO" sheetId="58" r:id="rId49"/>
    <sheet name="Practice Exam 14 (2)" sheetId="57" r:id="rId50"/>
    <sheet name="Practice Exam 10 (2)" sheetId="56" r:id="rId51"/>
    <sheet name="Practice EBITDA" sheetId="50" r:id="rId52"/>
    <sheet name="Practice EBITDA Fin" sheetId="49" r:id="rId53"/>
    <sheet name="Practice question M&amp;A Answer" sheetId="46" r:id="rId54"/>
    <sheet name="Test Question a answer" sheetId="38" r:id="rId55"/>
    <sheet name="Practice Working Cap Change" sheetId="40" r:id="rId56"/>
    <sheet name="Sample Test Qa" sheetId="37" r:id="rId57"/>
  </sheets>
  <calcPr calcId="152511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48" l="1"/>
  <c r="N4" i="48"/>
  <c r="O4" i="48"/>
  <c r="P4" i="48"/>
  <c r="L4" i="48"/>
  <c r="M3" i="48"/>
  <c r="N3" i="48"/>
  <c r="O3" i="48"/>
  <c r="P3" i="48"/>
  <c r="L3" i="48"/>
  <c r="T18" i="41"/>
  <c r="T17" i="41"/>
  <c r="S17" i="41"/>
  <c r="T15" i="41"/>
  <c r="S15" i="41"/>
  <c r="T14" i="41"/>
  <c r="S14" i="41"/>
  <c r="T13" i="41"/>
  <c r="S13" i="41"/>
  <c r="T11" i="41"/>
  <c r="S11" i="41"/>
  <c r="T10" i="41"/>
  <c r="S10" i="41"/>
  <c r="T9" i="41"/>
  <c r="S9" i="41"/>
  <c r="T8" i="41"/>
  <c r="S8" i="41"/>
  <c r="F12" i="60"/>
  <c r="F10" i="60"/>
  <c r="F9" i="60"/>
  <c r="F11" i="60" s="1"/>
  <c r="F20" i="39"/>
  <c r="F21" i="39"/>
  <c r="G21" i="39"/>
  <c r="F22" i="39"/>
  <c r="G22" i="39"/>
  <c r="F23" i="39"/>
  <c r="G23" i="39"/>
  <c r="F24" i="39"/>
  <c r="G24" i="39"/>
  <c r="F25" i="39"/>
  <c r="G20" i="39" s="1"/>
  <c r="G25" i="39" s="1"/>
  <c r="E25" i="39"/>
  <c r="E24" i="39"/>
  <c r="E23" i="39"/>
  <c r="E22" i="39"/>
  <c r="E21" i="39"/>
  <c r="E20" i="39"/>
  <c r="K18" i="33"/>
  <c r="L18" i="33"/>
  <c r="K19" i="33"/>
  <c r="L19" i="33"/>
  <c r="L21" i="33" s="1"/>
  <c r="L22" i="33" s="1"/>
  <c r="K20" i="33"/>
  <c r="L20" i="33"/>
  <c r="K21" i="33"/>
  <c r="K22" i="33" s="1"/>
  <c r="K24" i="33"/>
  <c r="L24" i="33"/>
  <c r="J24" i="33"/>
  <c r="J22" i="33"/>
  <c r="J21" i="33"/>
  <c r="J20" i="33"/>
  <c r="J18" i="33"/>
  <c r="J19" i="33"/>
  <c r="R20" i="33"/>
  <c r="R21" i="33"/>
  <c r="R23" i="33" s="1"/>
  <c r="S20" i="33" s="1"/>
  <c r="S23" i="33" s="1"/>
  <c r="S21" i="33"/>
  <c r="R22" i="33"/>
  <c r="S22" i="33"/>
  <c r="Q23" i="33"/>
  <c r="Q22" i="33"/>
  <c r="Q21" i="33"/>
  <c r="Q20" i="33"/>
  <c r="R15" i="33"/>
  <c r="R16" i="33"/>
  <c r="S16" i="33"/>
  <c r="R17" i="33"/>
  <c r="S15" i="33" s="1"/>
  <c r="S17" i="33" s="1"/>
  <c r="Q17" i="33"/>
  <c r="Q16" i="33"/>
  <c r="Q15" i="33"/>
  <c r="R10" i="33"/>
  <c r="R11" i="33"/>
  <c r="R12" i="33" s="1"/>
  <c r="S10" i="33" s="1"/>
  <c r="S12" i="33" s="1"/>
  <c r="S11" i="33"/>
  <c r="Q12" i="33"/>
  <c r="Q11" i="33"/>
  <c r="Q10" i="33"/>
  <c r="R5" i="33"/>
  <c r="R6" i="33"/>
  <c r="R7" i="33" s="1"/>
  <c r="S5" i="33" s="1"/>
  <c r="S7" i="33" s="1"/>
  <c r="S6" i="33"/>
  <c r="Q7" i="33"/>
  <c r="Q6" i="33"/>
  <c r="Q5" i="33"/>
  <c r="K15" i="33"/>
  <c r="L15" i="33"/>
  <c r="J15" i="33"/>
  <c r="K14" i="33"/>
  <c r="L14" i="33"/>
  <c r="J14" i="33"/>
  <c r="K13" i="33"/>
  <c r="L13" i="33"/>
  <c r="J13" i="33"/>
  <c r="K12" i="33"/>
  <c r="L12" i="33"/>
  <c r="J12" i="33"/>
  <c r="K11" i="33"/>
  <c r="L11" i="33"/>
  <c r="J11" i="33"/>
  <c r="K8" i="33"/>
  <c r="L8" i="33"/>
  <c r="J8" i="33"/>
  <c r="K7" i="33"/>
  <c r="L7" i="33"/>
  <c r="J7" i="33"/>
  <c r="K6" i="33"/>
  <c r="L6" i="33"/>
  <c r="J6" i="33"/>
  <c r="K5" i="33"/>
  <c r="L5" i="33"/>
  <c r="J5" i="33"/>
  <c r="D12" i="33"/>
  <c r="T19" i="58"/>
  <c r="O21" i="58"/>
  <c r="O23" i="58"/>
  <c r="T4" i="49"/>
  <c r="O4" i="49"/>
  <c r="O9" i="49"/>
  <c r="O11" i="49"/>
  <c r="U15" i="41"/>
  <c r="U11" i="41"/>
  <c r="E12" i="60"/>
  <c r="D24" i="39"/>
  <c r="M24" i="33"/>
  <c r="M19" i="33"/>
  <c r="T21" i="33"/>
  <c r="T15" i="33"/>
  <c r="T6" i="33"/>
  <c r="M14" i="33"/>
  <c r="M8" i="33"/>
  <c r="C12" i="33"/>
  <c r="O8" i="49"/>
  <c r="U14" i="41"/>
  <c r="E11" i="60"/>
  <c r="M22" i="33"/>
  <c r="T20" i="33"/>
  <c r="T7" i="33"/>
  <c r="M7" i="33"/>
  <c r="T16" i="58"/>
  <c r="O24" i="58"/>
  <c r="O12" i="49"/>
  <c r="U13" i="41"/>
  <c r="E9" i="60"/>
  <c r="M21" i="33"/>
  <c r="T17" i="33"/>
  <c r="T5" i="33"/>
  <c r="M6" i="33"/>
  <c r="O17" i="58"/>
  <c r="O16" i="58"/>
  <c r="O5" i="49"/>
  <c r="U17" i="41"/>
  <c r="E10" i="60"/>
  <c r="D20" i="39"/>
  <c r="T22" i="33"/>
  <c r="T10" i="33"/>
  <c r="M11" i="33"/>
  <c r="T18" i="58"/>
  <c r="T17" i="58"/>
  <c r="O25" i="58"/>
  <c r="O20" i="58"/>
  <c r="T5" i="49"/>
  <c r="O6" i="49"/>
  <c r="O3" i="49"/>
  <c r="U10" i="41"/>
  <c r="D22" i="39"/>
  <c r="M18" i="33"/>
  <c r="T12" i="33"/>
  <c r="M13" i="33"/>
  <c r="T20" i="58"/>
  <c r="O18" i="58"/>
  <c r="T6" i="49"/>
  <c r="O10" i="49"/>
  <c r="U18" i="41"/>
  <c r="U8" i="41"/>
  <c r="D23" i="39"/>
  <c r="T23" i="33"/>
  <c r="T11" i="33"/>
  <c r="M12" i="33"/>
  <c r="T21" i="58"/>
  <c r="O19" i="58"/>
  <c r="T3" i="49"/>
  <c r="O7" i="49"/>
  <c r="U9" i="41"/>
  <c r="D21" i="39"/>
  <c r="M20" i="33"/>
  <c r="T16" i="33"/>
  <c r="M15" i="33"/>
  <c r="M5" i="33"/>
  <c r="I9" i="59" l="1"/>
  <c r="I7" i="59"/>
  <c r="D7" i="59"/>
  <c r="D13" i="59" s="1"/>
  <c r="I6" i="59"/>
  <c r="I5" i="59"/>
  <c r="I4" i="59"/>
  <c r="N24" i="58"/>
  <c r="N23" i="58"/>
  <c r="N20" i="58"/>
  <c r="S19" i="58"/>
  <c r="S17" i="58"/>
  <c r="N10" i="58"/>
  <c r="N9" i="58"/>
  <c r="I9" i="58"/>
  <c r="N21" i="58" s="1"/>
  <c r="N7" i="58"/>
  <c r="I7" i="58"/>
  <c r="N19" i="58" s="1"/>
  <c r="D7" i="58"/>
  <c r="D13" i="58" s="1"/>
  <c r="N6" i="58"/>
  <c r="I6" i="58"/>
  <c r="N18" i="58" s="1"/>
  <c r="S5" i="58"/>
  <c r="S18" i="58" s="1"/>
  <c r="N5" i="58"/>
  <c r="I5" i="58"/>
  <c r="S4" i="58"/>
  <c r="N4" i="58"/>
  <c r="I4" i="58"/>
  <c r="N17" i="58" s="1"/>
  <c r="S3" i="58"/>
  <c r="S16" i="58" s="1"/>
  <c r="D13" i="57"/>
  <c r="N10" i="57"/>
  <c r="N9" i="57"/>
  <c r="I9" i="57"/>
  <c r="N8" i="57"/>
  <c r="N7" i="57"/>
  <c r="I7" i="57"/>
  <c r="D7" i="57"/>
  <c r="N6" i="57"/>
  <c r="I6" i="57"/>
  <c r="S5" i="57"/>
  <c r="N5" i="57"/>
  <c r="I5" i="57"/>
  <c r="S4" i="57"/>
  <c r="N4" i="57"/>
  <c r="I4" i="57"/>
  <c r="S3" i="57"/>
  <c r="S6" i="57" s="1"/>
  <c r="F16" i="56"/>
  <c r="F18" i="56" s="1"/>
  <c r="K15" i="56" s="1"/>
  <c r="K17" i="56" s="1"/>
  <c r="K14" i="56"/>
  <c r="O12" i="56"/>
  <c r="O11" i="56"/>
  <c r="O10" i="56"/>
  <c r="F10" i="56"/>
  <c r="O9" i="56"/>
  <c r="O8" i="56"/>
  <c r="K8" i="56"/>
  <c r="O7" i="56"/>
  <c r="O6" i="56"/>
  <c r="O5" i="56"/>
  <c r="O13" i="56" s="1"/>
  <c r="P50" i="55"/>
  <c r="Q47" i="55" s="1"/>
  <c r="Q42" i="55"/>
  <c r="L41" i="55"/>
  <c r="S49" i="55" s="1"/>
  <c r="K41" i="55"/>
  <c r="R49" i="55" s="1"/>
  <c r="J41" i="55"/>
  <c r="Q49" i="55" s="1"/>
  <c r="J40" i="55"/>
  <c r="D39" i="55"/>
  <c r="S38" i="55"/>
  <c r="R38" i="55"/>
  <c r="Q38" i="55"/>
  <c r="Q37" i="55"/>
  <c r="Q39" i="55" s="1"/>
  <c r="L35" i="55"/>
  <c r="S48" i="55" s="1"/>
  <c r="P34" i="55"/>
  <c r="L34" i="55"/>
  <c r="S43" i="55" s="1"/>
  <c r="K34" i="55"/>
  <c r="R43" i="55" s="1"/>
  <c r="J34" i="55"/>
  <c r="Q43" i="55" s="1"/>
  <c r="L33" i="55"/>
  <c r="K33" i="55"/>
  <c r="J33" i="55"/>
  <c r="Q32" i="55"/>
  <c r="L32" i="55"/>
  <c r="K32" i="55"/>
  <c r="K35" i="55" s="1"/>
  <c r="J32" i="55"/>
  <c r="J35" i="55" s="1"/>
  <c r="P23" i="55"/>
  <c r="P7" i="55"/>
  <c r="I4" i="51"/>
  <c r="I4" i="49"/>
  <c r="S6" i="49"/>
  <c r="D7" i="49"/>
  <c r="N4" i="49"/>
  <c r="I9" i="53"/>
  <c r="I7" i="53"/>
  <c r="D7" i="53"/>
  <c r="D13" i="53" s="1"/>
  <c r="I6" i="53"/>
  <c r="I5" i="53"/>
  <c r="I4" i="53"/>
  <c r="I9" i="52"/>
  <c r="I7" i="52"/>
  <c r="D7" i="52"/>
  <c r="D13" i="52" s="1"/>
  <c r="I6" i="52"/>
  <c r="I5" i="52"/>
  <c r="I4" i="52"/>
  <c r="I9" i="51"/>
  <c r="I7" i="51"/>
  <c r="D7" i="51"/>
  <c r="D13" i="51" s="1"/>
  <c r="I6" i="51"/>
  <c r="I5" i="51"/>
  <c r="I9" i="50"/>
  <c r="I7" i="50"/>
  <c r="D7" i="50"/>
  <c r="D13" i="50" s="1"/>
  <c r="I6" i="50"/>
  <c r="I5" i="50"/>
  <c r="I4" i="50"/>
  <c r="S5" i="49"/>
  <c r="S4" i="49"/>
  <c r="S3" i="49"/>
  <c r="N10" i="49"/>
  <c r="N9" i="49"/>
  <c r="N7" i="49"/>
  <c r="N6" i="49"/>
  <c r="N5" i="49"/>
  <c r="I7" i="49"/>
  <c r="I9" i="49"/>
  <c r="N8" i="49" s="1"/>
  <c r="I6" i="49"/>
  <c r="I5" i="49"/>
  <c r="C25" i="48"/>
  <c r="C21" i="48"/>
  <c r="D21" i="48" s="1"/>
  <c r="E21" i="48" s="1"/>
  <c r="F21" i="48" s="1"/>
  <c r="G21" i="48" s="1"/>
  <c r="C20" i="48"/>
  <c r="D20" i="48" s="1"/>
  <c r="E20" i="48" s="1"/>
  <c r="F20" i="48" s="1"/>
  <c r="G20" i="48" s="1"/>
  <c r="C12" i="48"/>
  <c r="C26" i="48" s="1"/>
  <c r="D11" i="48"/>
  <c r="D12" i="48" s="1"/>
  <c r="D26" i="48" s="1"/>
  <c r="C6" i="48"/>
  <c r="C7" i="48"/>
  <c r="D7" i="48" s="1"/>
  <c r="E7" i="48" s="1"/>
  <c r="F7" i="48" s="1"/>
  <c r="G7" i="48" s="1"/>
  <c r="D11" i="47"/>
  <c r="G2" i="47"/>
  <c r="G16" i="46"/>
  <c r="G13" i="46"/>
  <c r="G14" i="46" s="1"/>
  <c r="D10" i="46"/>
  <c r="G2" i="46"/>
  <c r="G2" i="45"/>
  <c r="D10" i="45"/>
  <c r="O11" i="44"/>
  <c r="K9" i="44"/>
  <c r="O10" i="44"/>
  <c r="F15" i="44"/>
  <c r="K15" i="44"/>
  <c r="O12" i="44"/>
  <c r="F9" i="44"/>
  <c r="F17" i="44" s="1"/>
  <c r="O9" i="44"/>
  <c r="O8" i="44"/>
  <c r="O7" i="44"/>
  <c r="O6" i="44"/>
  <c r="O5" i="44"/>
  <c r="K15" i="43"/>
  <c r="K14" i="43"/>
  <c r="K8" i="43"/>
  <c r="F16" i="43"/>
  <c r="F18" i="43" s="1"/>
  <c r="F10" i="43"/>
  <c r="M16" i="41"/>
  <c r="L16" i="41"/>
  <c r="F15" i="41"/>
  <c r="E15" i="41"/>
  <c r="Q14" i="41"/>
  <c r="Q13" i="41"/>
  <c r="M11" i="41"/>
  <c r="L11" i="41"/>
  <c r="F11" i="41"/>
  <c r="F16" i="41" s="1"/>
  <c r="M17" i="41" s="1"/>
  <c r="M18" i="41" s="1"/>
  <c r="E11" i="41"/>
  <c r="E16" i="41" s="1"/>
  <c r="L17" i="41" s="1"/>
  <c r="L18" i="41" s="1"/>
  <c r="Q10" i="41"/>
  <c r="Q9" i="41"/>
  <c r="Q8" i="41"/>
  <c r="S17" i="40"/>
  <c r="T15" i="40"/>
  <c r="T17" i="40" s="1"/>
  <c r="T18" i="40" s="1"/>
  <c r="S15" i="40"/>
  <c r="T13" i="40"/>
  <c r="T14" i="40"/>
  <c r="S14" i="40"/>
  <c r="S13" i="40"/>
  <c r="T8" i="40"/>
  <c r="T9" i="40"/>
  <c r="T10" i="40"/>
  <c r="T11" i="40"/>
  <c r="S11" i="40"/>
  <c r="S10" i="40"/>
  <c r="S9" i="40"/>
  <c r="S8" i="40"/>
  <c r="Q14" i="40"/>
  <c r="Q13" i="40"/>
  <c r="Q10" i="40"/>
  <c r="Q9" i="40"/>
  <c r="Q8" i="40"/>
  <c r="L18" i="40"/>
  <c r="L17" i="40"/>
  <c r="M16" i="40"/>
  <c r="L16" i="40"/>
  <c r="M11" i="40"/>
  <c r="M17" i="40" s="1"/>
  <c r="M18" i="40" s="1"/>
  <c r="L11" i="40"/>
  <c r="F16" i="40"/>
  <c r="E16" i="40"/>
  <c r="F15" i="40"/>
  <c r="E15" i="40"/>
  <c r="F11" i="40"/>
  <c r="E11" i="40"/>
  <c r="M16" i="39"/>
  <c r="L16" i="39"/>
  <c r="K16" i="39"/>
  <c r="M12" i="39"/>
  <c r="L12" i="39"/>
  <c r="K12" i="39"/>
  <c r="G12" i="39"/>
  <c r="M3" i="39" s="1"/>
  <c r="M7" i="39" s="1"/>
  <c r="M17" i="39" s="1"/>
  <c r="G9" i="39"/>
  <c r="F9" i="39"/>
  <c r="F12" i="39" s="1"/>
  <c r="L3" i="39" s="1"/>
  <c r="L7" i="39" s="1"/>
  <c r="L17" i="39" s="1"/>
  <c r="E9" i="39"/>
  <c r="E12" i="39" s="1"/>
  <c r="K3" i="39" s="1"/>
  <c r="K7" i="39" s="1"/>
  <c r="K17" i="39" s="1"/>
  <c r="M6" i="39"/>
  <c r="L6" i="39"/>
  <c r="K6" i="39"/>
  <c r="M5" i="39"/>
  <c r="L5" i="39"/>
  <c r="K5" i="39"/>
  <c r="M4" i="39"/>
  <c r="L4" i="39"/>
  <c r="K4" i="39"/>
  <c r="F24" i="38"/>
  <c r="G24" i="38"/>
  <c r="E24" i="38"/>
  <c r="E23" i="38"/>
  <c r="F22" i="38"/>
  <c r="G22" i="38"/>
  <c r="E22" i="38"/>
  <c r="F9" i="38"/>
  <c r="F12" i="38" s="1"/>
  <c r="L3" i="38" s="1"/>
  <c r="G9" i="38"/>
  <c r="G12" i="38" s="1"/>
  <c r="M3" i="38" s="1"/>
  <c r="E9" i="38"/>
  <c r="E12" i="38" s="1"/>
  <c r="K3" i="38" s="1"/>
  <c r="K7" i="38" s="1"/>
  <c r="G23" i="38"/>
  <c r="F23" i="38"/>
  <c r="G21" i="38"/>
  <c r="F21" i="38"/>
  <c r="E21" i="38"/>
  <c r="M16" i="38"/>
  <c r="L16" i="38"/>
  <c r="K16" i="38"/>
  <c r="E20" i="38"/>
  <c r="M12" i="38"/>
  <c r="L12" i="38"/>
  <c r="K12" i="38"/>
  <c r="M6" i="38"/>
  <c r="L6" i="38"/>
  <c r="K6" i="38"/>
  <c r="M5" i="38"/>
  <c r="L5" i="38"/>
  <c r="K5" i="38"/>
  <c r="M4" i="38"/>
  <c r="L4" i="38"/>
  <c r="K4" i="38"/>
  <c r="F16" i="37"/>
  <c r="G16" i="37"/>
  <c r="E16" i="37"/>
  <c r="F8" i="37"/>
  <c r="G8" i="37"/>
  <c r="E8" i="37"/>
  <c r="E11" i="37" s="1"/>
  <c r="K3" i="37" s="1"/>
  <c r="K7" i="37" s="1"/>
  <c r="L6" i="37"/>
  <c r="M6" i="37"/>
  <c r="K6" i="37"/>
  <c r="E14" i="37"/>
  <c r="F18" i="37"/>
  <c r="G18" i="37"/>
  <c r="E18" i="37"/>
  <c r="F17" i="37"/>
  <c r="G17" i="37"/>
  <c r="E17" i="37"/>
  <c r="F15" i="37"/>
  <c r="G15" i="37"/>
  <c r="E15" i="37"/>
  <c r="M14" i="37"/>
  <c r="L14" i="37"/>
  <c r="K14" i="37"/>
  <c r="G11" i="37"/>
  <c r="M3" i="37" s="1"/>
  <c r="M7" i="37" s="1"/>
  <c r="M10" i="37"/>
  <c r="L10" i="37"/>
  <c r="K10" i="37"/>
  <c r="F11" i="37"/>
  <c r="L3" i="37" s="1"/>
  <c r="L7" i="37" s="1"/>
  <c r="M5" i="37"/>
  <c r="L5" i="37"/>
  <c r="K5" i="37"/>
  <c r="M4" i="37"/>
  <c r="L4" i="37"/>
  <c r="K4" i="37"/>
  <c r="E14" i="36"/>
  <c r="K13" i="36"/>
  <c r="L13" i="36"/>
  <c r="M13" i="36"/>
  <c r="K9" i="36"/>
  <c r="L9" i="36"/>
  <c r="M9" i="36"/>
  <c r="L5" i="36"/>
  <c r="M5" i="36"/>
  <c r="K5" i="36"/>
  <c r="L4" i="36"/>
  <c r="M4" i="36"/>
  <c r="K4" i="36"/>
  <c r="G10" i="36"/>
  <c r="M3" i="36" s="1"/>
  <c r="F7" i="36"/>
  <c r="F10" i="36" s="1"/>
  <c r="L3" i="36" s="1"/>
  <c r="L6" i="36" s="1"/>
  <c r="G7" i="36"/>
  <c r="E7" i="36"/>
  <c r="E10" i="36" s="1"/>
  <c r="K3" i="36" s="1"/>
  <c r="C10" i="35"/>
  <c r="F27" i="34"/>
  <c r="D27" i="34"/>
  <c r="F26" i="34"/>
  <c r="F28" i="34" s="1"/>
  <c r="D26" i="34"/>
  <c r="D28" i="34" s="1"/>
  <c r="F23" i="34"/>
  <c r="D23" i="34"/>
  <c r="F21" i="34"/>
  <c r="D21" i="34"/>
  <c r="F19" i="34"/>
  <c r="D19" i="34"/>
  <c r="D11" i="34"/>
  <c r="D12" i="34" s="1"/>
  <c r="D20" i="34" s="1"/>
  <c r="F9" i="34"/>
  <c r="F11" i="34" s="1"/>
  <c r="D9" i="34"/>
  <c r="F15" i="29"/>
  <c r="F27" i="29"/>
  <c r="D27" i="29"/>
  <c r="F26" i="29"/>
  <c r="D26" i="29"/>
  <c r="F23" i="29"/>
  <c r="D23" i="29"/>
  <c r="F21" i="29"/>
  <c r="F19" i="29"/>
  <c r="D21" i="29"/>
  <c r="D19" i="29"/>
  <c r="F9" i="29"/>
  <c r="F11" i="29" s="1"/>
  <c r="D9" i="29"/>
  <c r="D11" i="29" s="1"/>
  <c r="D14" i="59" l="1"/>
  <c r="D16" i="59" s="1"/>
  <c r="I3" i="59" s="1"/>
  <c r="I10" i="59" s="1"/>
  <c r="D14" i="58"/>
  <c r="D16" i="58"/>
  <c r="S6" i="58"/>
  <c r="N8" i="58"/>
  <c r="D14" i="57"/>
  <c r="N11" i="57" s="1"/>
  <c r="Q48" i="55"/>
  <c r="J38" i="55"/>
  <c r="R37" i="55"/>
  <c r="R39" i="55" s="1"/>
  <c r="J46" i="55"/>
  <c r="R48" i="55"/>
  <c r="K38" i="55"/>
  <c r="K42" i="55" s="1"/>
  <c r="R33" i="55" s="1"/>
  <c r="Q44" i="55"/>
  <c r="Q50" i="55"/>
  <c r="K39" i="55"/>
  <c r="L39" i="55"/>
  <c r="L38" i="55"/>
  <c r="L42" i="55" s="1"/>
  <c r="S33" i="55" s="1"/>
  <c r="J39" i="55"/>
  <c r="D13" i="49"/>
  <c r="D14" i="53"/>
  <c r="D14" i="52"/>
  <c r="D16" i="52" s="1"/>
  <c r="I3" i="52" s="1"/>
  <c r="I10" i="52" s="1"/>
  <c r="D14" i="51"/>
  <c r="D14" i="50"/>
  <c r="D25" i="48"/>
  <c r="E11" i="48"/>
  <c r="C8" i="48"/>
  <c r="C10" i="48" s="1"/>
  <c r="D6" i="48"/>
  <c r="C19" i="48"/>
  <c r="C22" i="48" s="1"/>
  <c r="C24" i="48" s="1"/>
  <c r="K16" i="44"/>
  <c r="K18" i="44" s="1"/>
  <c r="O13" i="44"/>
  <c r="K17" i="43"/>
  <c r="M7" i="38"/>
  <c r="M17" i="38" s="1"/>
  <c r="L7" i="38"/>
  <c r="L17" i="38" s="1"/>
  <c r="E25" i="38"/>
  <c r="F20" i="38" s="1"/>
  <c r="F25" i="38" s="1"/>
  <c r="G20" i="38" s="1"/>
  <c r="G25" i="38" s="1"/>
  <c r="K17" i="38"/>
  <c r="K15" i="37"/>
  <c r="L15" i="37"/>
  <c r="M15" i="37"/>
  <c r="E19" i="37"/>
  <c r="F14" i="37" s="1"/>
  <c r="F19" i="37" s="1"/>
  <c r="G14" i="37" s="1"/>
  <c r="G19" i="37" s="1"/>
  <c r="K6" i="36"/>
  <c r="M6" i="36"/>
  <c r="M14" i="36"/>
  <c r="L14" i="36"/>
  <c r="K14" i="36"/>
  <c r="F12" i="34"/>
  <c r="F20" i="34" s="1"/>
  <c r="D13" i="34"/>
  <c r="D18" i="34" s="1"/>
  <c r="D22" i="34" s="1"/>
  <c r="D24" i="34" s="1"/>
  <c r="F28" i="29"/>
  <c r="D28" i="29"/>
  <c r="D12" i="29"/>
  <c r="F12" i="29"/>
  <c r="N11" i="58" l="1"/>
  <c r="S20" i="58"/>
  <c r="S21" i="58" s="1"/>
  <c r="I3" i="58"/>
  <c r="N3" i="58"/>
  <c r="N12" i="58" s="1"/>
  <c r="S8" i="58" s="1"/>
  <c r="D16" i="57"/>
  <c r="R47" i="55"/>
  <c r="R50" i="55" s="1"/>
  <c r="J51" i="55"/>
  <c r="J47" i="55"/>
  <c r="J48" i="55" s="1"/>
  <c r="R42" i="55"/>
  <c r="R44" i="55" s="1"/>
  <c r="S37" i="55"/>
  <c r="S39" i="55" s="1"/>
  <c r="L46" i="55" s="1"/>
  <c r="K46" i="55"/>
  <c r="J42" i="55"/>
  <c r="Q33" i="55" s="1"/>
  <c r="Q34" i="55" s="1"/>
  <c r="D16" i="51"/>
  <c r="D16" i="49"/>
  <c r="D14" i="49"/>
  <c r="N11" i="49" s="1"/>
  <c r="D16" i="53"/>
  <c r="I3" i="51"/>
  <c r="D16" i="50"/>
  <c r="E12" i="48"/>
  <c r="E26" i="48" s="1"/>
  <c r="F11" i="48"/>
  <c r="E6" i="48"/>
  <c r="D19" i="48"/>
  <c r="D22" i="48" s="1"/>
  <c r="D24" i="48" s="1"/>
  <c r="D8" i="48"/>
  <c r="D10" i="48" s="1"/>
  <c r="F13" i="34"/>
  <c r="F18" i="34" s="1"/>
  <c r="F22" i="34" s="1"/>
  <c r="F24" i="34" s="1"/>
  <c r="F13" i="29"/>
  <c r="F18" i="29" s="1"/>
  <c r="F20" i="29"/>
  <c r="D13" i="29"/>
  <c r="D18" i="29" s="1"/>
  <c r="D20" i="29"/>
  <c r="I10" i="51" l="1"/>
  <c r="N16" i="58"/>
  <c r="N25" i="58" s="1"/>
  <c r="I10" i="58"/>
  <c r="N3" i="57"/>
  <c r="N12" i="57" s="1"/>
  <c r="S8" i="57" s="1"/>
  <c r="I3" i="57"/>
  <c r="I10" i="57" s="1"/>
  <c r="R32" i="55"/>
  <c r="R34" i="55" s="1"/>
  <c r="J45" i="55"/>
  <c r="J49" i="55" s="1"/>
  <c r="K48" i="55"/>
  <c r="L48" i="55"/>
  <c r="S42" i="55"/>
  <c r="S44" i="55" s="1"/>
  <c r="L47" i="55" s="1"/>
  <c r="K47" i="55"/>
  <c r="K51" i="55"/>
  <c r="S47" i="55"/>
  <c r="S50" i="55" s="1"/>
  <c r="L51" i="55" s="1"/>
  <c r="I3" i="53"/>
  <c r="I10" i="53" s="1"/>
  <c r="I3" i="50"/>
  <c r="I10" i="50" s="1"/>
  <c r="I3" i="49"/>
  <c r="I10" i="49" s="1"/>
  <c r="N3" i="49"/>
  <c r="N12" i="49" s="1"/>
  <c r="S8" i="49" s="1"/>
  <c r="G11" i="48"/>
  <c r="G12" i="48" s="1"/>
  <c r="G26" i="48" s="1"/>
  <c r="F12" i="48"/>
  <c r="F26" i="48" s="1"/>
  <c r="F6" i="48"/>
  <c r="E19" i="48"/>
  <c r="E22" i="48" s="1"/>
  <c r="E24" i="48" s="1"/>
  <c r="E25" i="48" s="1"/>
  <c r="E8" i="48"/>
  <c r="E10" i="48" s="1"/>
  <c r="F22" i="29"/>
  <c r="F24" i="29" s="1"/>
  <c r="D22" i="29"/>
  <c r="D24" i="29" s="1"/>
  <c r="K45" i="55" l="1"/>
  <c r="K49" i="55" s="1"/>
  <c r="S32" i="55"/>
  <c r="S34" i="55" s="1"/>
  <c r="L45" i="55" s="1"/>
  <c r="L49" i="55" s="1"/>
  <c r="G6" i="48"/>
  <c r="F19" i="48"/>
  <c r="F22" i="48" s="1"/>
  <c r="F24" i="48" s="1"/>
  <c r="F25" i="48" s="1"/>
  <c r="F8" i="48"/>
  <c r="F10" i="48" s="1"/>
  <c r="G19" i="48" l="1"/>
  <c r="G22" i="48" s="1"/>
  <c r="G24" i="48" s="1"/>
  <c r="G25" i="48" s="1"/>
  <c r="G8" i="48"/>
  <c r="G10" i="48" s="1"/>
  <c r="K45" i="33" l="1"/>
  <c r="L45" i="33"/>
  <c r="K46" i="33"/>
  <c r="K48" i="33" s="1"/>
  <c r="K49" i="33" s="1"/>
  <c r="L46" i="33"/>
  <c r="K47" i="33"/>
  <c r="L47" i="33"/>
  <c r="L48" i="33"/>
  <c r="L49" i="33" s="1"/>
  <c r="K51" i="33"/>
  <c r="L51" i="33"/>
  <c r="J51" i="33"/>
  <c r="J49" i="33"/>
  <c r="J48" i="33"/>
  <c r="J47" i="33"/>
  <c r="J46" i="33"/>
  <c r="J45" i="33"/>
  <c r="R47" i="33"/>
  <c r="R48" i="33"/>
  <c r="S48" i="33"/>
  <c r="R49" i="33"/>
  <c r="S49" i="33"/>
  <c r="R50" i="33"/>
  <c r="S47" i="33" s="1"/>
  <c r="S50" i="33" s="1"/>
  <c r="Q50" i="33"/>
  <c r="Q49" i="33"/>
  <c r="Q48" i="33"/>
  <c r="Q47" i="33"/>
  <c r="R42" i="33"/>
  <c r="R43" i="33"/>
  <c r="R44" i="33" s="1"/>
  <c r="S42" i="33" s="1"/>
  <c r="S44" i="33" s="1"/>
  <c r="S43" i="33"/>
  <c r="Q44" i="33"/>
  <c r="Q42" i="33"/>
  <c r="R38" i="33"/>
  <c r="S38" i="33"/>
  <c r="Q37" i="33"/>
  <c r="K41" i="33"/>
  <c r="L41" i="33"/>
  <c r="J41" i="33"/>
  <c r="J40" i="33"/>
  <c r="Q38" i="33" s="1"/>
  <c r="K34" i="33"/>
  <c r="K39" i="33" s="1"/>
  <c r="J34" i="33"/>
  <c r="Q43" i="33" s="1"/>
  <c r="D39" i="33"/>
  <c r="L34" i="33" s="1"/>
  <c r="L39" i="33" s="1"/>
  <c r="K33" i="33"/>
  <c r="L33" i="33"/>
  <c r="J33" i="33"/>
  <c r="K32" i="33"/>
  <c r="K35" i="33" s="1"/>
  <c r="K38" i="33" s="1"/>
  <c r="K42" i="33" s="1"/>
  <c r="R33" i="33" s="1"/>
  <c r="L32" i="33"/>
  <c r="L35" i="33" s="1"/>
  <c r="L38" i="33" s="1"/>
  <c r="L42" i="33" s="1"/>
  <c r="S33" i="33" s="1"/>
  <c r="J32" i="33"/>
  <c r="J35" i="33" s="1"/>
  <c r="J38" i="33" s="1"/>
  <c r="P50" i="33"/>
  <c r="P34" i="33"/>
  <c r="Q32" i="33" s="1"/>
  <c r="P23" i="33"/>
  <c r="P7" i="33"/>
  <c r="H6" i="31"/>
  <c r="G24" i="32"/>
  <c r="G23" i="32"/>
  <c r="G21" i="32"/>
  <c r="G20" i="32"/>
  <c r="C22" i="32"/>
  <c r="C21" i="32"/>
  <c r="C20" i="32"/>
  <c r="C19" i="32"/>
  <c r="G9" i="32"/>
  <c r="G13" i="32" s="1"/>
  <c r="G4" i="32"/>
  <c r="C4" i="32"/>
  <c r="C9" i="32" s="1"/>
  <c r="G3" i="32"/>
  <c r="H10" i="31"/>
  <c r="H14" i="31" s="1"/>
  <c r="H5" i="31"/>
  <c r="H4" i="31"/>
  <c r="D5" i="31"/>
  <c r="D10" i="31" s="1"/>
  <c r="D13" i="31" s="1"/>
  <c r="H3" i="31" s="1"/>
  <c r="I13" i="30"/>
  <c r="G13" i="30"/>
  <c r="E13" i="30"/>
  <c r="I9" i="30"/>
  <c r="G9" i="30"/>
  <c r="E9" i="30"/>
  <c r="J19" i="28"/>
  <c r="G22" i="28"/>
  <c r="F22" i="28"/>
  <c r="F23" i="28"/>
  <c r="G23" i="28"/>
  <c r="H23" i="28"/>
  <c r="I23" i="28"/>
  <c r="J23" i="28"/>
  <c r="F25" i="28"/>
  <c r="G25" i="28"/>
  <c r="H22" i="28" s="1"/>
  <c r="H25" i="28" s="1"/>
  <c r="I22" i="28" s="1"/>
  <c r="E25" i="28"/>
  <c r="E23" i="28"/>
  <c r="G11" i="28"/>
  <c r="H11" i="28"/>
  <c r="I11" i="28"/>
  <c r="J11" i="28"/>
  <c r="F11" i="28"/>
  <c r="J18" i="28"/>
  <c r="E17" i="28"/>
  <c r="J14" i="28"/>
  <c r="J13" i="28"/>
  <c r="F9" i="28"/>
  <c r="G9" i="28"/>
  <c r="H9" i="28"/>
  <c r="I9" i="28"/>
  <c r="J9" i="28"/>
  <c r="E9" i="28"/>
  <c r="G5" i="28"/>
  <c r="H5" i="28" s="1"/>
  <c r="I5" i="28" s="1"/>
  <c r="J5" i="28" s="1"/>
  <c r="F5" i="28"/>
  <c r="E20" i="27"/>
  <c r="F20" i="27"/>
  <c r="D20" i="27"/>
  <c r="K24" i="27"/>
  <c r="L24" i="27"/>
  <c r="J24" i="27"/>
  <c r="K23" i="27"/>
  <c r="L23" i="27"/>
  <c r="J23" i="27"/>
  <c r="E36" i="27"/>
  <c r="F36" i="27"/>
  <c r="D36" i="27"/>
  <c r="E35" i="27"/>
  <c r="F35" i="27"/>
  <c r="D35" i="27"/>
  <c r="J18" i="27" s="1"/>
  <c r="L37" i="27"/>
  <c r="K37" i="27"/>
  <c r="J37" i="27"/>
  <c r="K18" i="27"/>
  <c r="J35" i="27"/>
  <c r="F34" i="27"/>
  <c r="E34" i="27"/>
  <c r="D34" i="27"/>
  <c r="L31" i="27"/>
  <c r="K31" i="27"/>
  <c r="J31" i="27"/>
  <c r="J29" i="27"/>
  <c r="D26" i="27"/>
  <c r="F26" i="27" s="1"/>
  <c r="L28" i="27"/>
  <c r="J28" i="27"/>
  <c r="F25" i="27"/>
  <c r="L29" i="27" s="1"/>
  <c r="E25" i="27"/>
  <c r="K29" i="27" s="1"/>
  <c r="D25" i="27"/>
  <c r="D27" i="27" s="1"/>
  <c r="D28" i="27" s="1"/>
  <c r="F24" i="27"/>
  <c r="E24" i="27"/>
  <c r="K28" i="27" s="1"/>
  <c r="L18" i="27"/>
  <c r="C17" i="27"/>
  <c r="C16" i="27"/>
  <c r="E14" i="27"/>
  <c r="D14" i="27"/>
  <c r="J11" i="27"/>
  <c r="D10" i="27"/>
  <c r="D9" i="27"/>
  <c r="D13" i="27" s="1"/>
  <c r="L6" i="27"/>
  <c r="K6" i="27"/>
  <c r="J6" i="27"/>
  <c r="J5" i="27"/>
  <c r="J7" i="27" s="1"/>
  <c r="K5" i="27" s="1"/>
  <c r="K7" i="27" s="1"/>
  <c r="L5" i="27" s="1"/>
  <c r="L7" i="27" s="1"/>
  <c r="K2" i="27"/>
  <c r="D33" i="27" s="1"/>
  <c r="E33" i="27" s="1"/>
  <c r="F33" i="27" s="1"/>
  <c r="E2" i="27"/>
  <c r="E9" i="27" s="1"/>
  <c r="H17" i="21"/>
  <c r="H18" i="21"/>
  <c r="G16" i="21"/>
  <c r="G17" i="21"/>
  <c r="G19" i="21"/>
  <c r="H16" i="21" s="1"/>
  <c r="H19" i="21" s="1"/>
  <c r="F19" i="21"/>
  <c r="F17" i="21"/>
  <c r="F16" i="21"/>
  <c r="F5" i="26"/>
  <c r="F23" i="26" s="1"/>
  <c r="D38" i="26"/>
  <c r="F33" i="26"/>
  <c r="E33" i="26"/>
  <c r="K19" i="26" s="1"/>
  <c r="D33" i="26"/>
  <c r="J19" i="26" s="1"/>
  <c r="L32" i="26"/>
  <c r="K32" i="26"/>
  <c r="J32" i="26"/>
  <c r="F32" i="26"/>
  <c r="E32" i="26"/>
  <c r="D32" i="26"/>
  <c r="L26" i="26"/>
  <c r="K26" i="26"/>
  <c r="J26" i="26"/>
  <c r="J23" i="26"/>
  <c r="E23" i="26"/>
  <c r="K24" i="26" s="1"/>
  <c r="D23" i="26"/>
  <c r="J24" i="26" s="1"/>
  <c r="F22" i="26"/>
  <c r="L23" i="26" s="1"/>
  <c r="E22" i="26"/>
  <c r="K23" i="26" s="1"/>
  <c r="I20" i="26"/>
  <c r="L19" i="26"/>
  <c r="C18" i="26"/>
  <c r="J17" i="26"/>
  <c r="C16" i="26"/>
  <c r="D13" i="26"/>
  <c r="J12" i="26"/>
  <c r="D9" i="26"/>
  <c r="D10" i="26" s="1"/>
  <c r="F8" i="26"/>
  <c r="F26" i="26" s="1"/>
  <c r="L6" i="26"/>
  <c r="K6" i="26"/>
  <c r="J6" i="26"/>
  <c r="J5" i="26"/>
  <c r="K2" i="26"/>
  <c r="D31" i="26" s="1"/>
  <c r="E31" i="26" s="1"/>
  <c r="F31" i="26" s="1"/>
  <c r="F27" i="25"/>
  <c r="F26" i="25"/>
  <c r="E27" i="25"/>
  <c r="D27" i="25"/>
  <c r="F25" i="25"/>
  <c r="E25" i="25"/>
  <c r="D25" i="25"/>
  <c r="E18" i="25"/>
  <c r="F18" i="25"/>
  <c r="D18" i="25"/>
  <c r="E17" i="25"/>
  <c r="D17" i="25"/>
  <c r="F8" i="25"/>
  <c r="D38" i="25"/>
  <c r="L32" i="25"/>
  <c r="K32" i="25"/>
  <c r="J32" i="25"/>
  <c r="F33" i="25"/>
  <c r="E33" i="25"/>
  <c r="D33" i="25"/>
  <c r="J19" i="25" s="1"/>
  <c r="F32" i="25"/>
  <c r="E32" i="25"/>
  <c r="D32" i="25"/>
  <c r="L26" i="25"/>
  <c r="K26" i="25"/>
  <c r="J26" i="25"/>
  <c r="L24" i="25"/>
  <c r="J23" i="25"/>
  <c r="F23" i="25"/>
  <c r="E23" i="25"/>
  <c r="K24" i="25" s="1"/>
  <c r="D23" i="25"/>
  <c r="F22" i="25"/>
  <c r="L23" i="25" s="1"/>
  <c r="E22" i="25"/>
  <c r="K23" i="25" s="1"/>
  <c r="I20" i="25"/>
  <c r="J17" i="25" s="1"/>
  <c r="L19" i="25"/>
  <c r="K19" i="25"/>
  <c r="C18" i="25"/>
  <c r="C16" i="25"/>
  <c r="J12" i="25"/>
  <c r="D10" i="25"/>
  <c r="D9" i="25"/>
  <c r="D13" i="25" s="1"/>
  <c r="L6" i="25"/>
  <c r="K6" i="25"/>
  <c r="J6" i="25"/>
  <c r="J5" i="25"/>
  <c r="J8" i="25" s="1"/>
  <c r="K2" i="25"/>
  <c r="D24" i="25" s="1"/>
  <c r="E2" i="25"/>
  <c r="E9" i="25" s="1"/>
  <c r="F23" i="24"/>
  <c r="E25" i="24"/>
  <c r="K8" i="24"/>
  <c r="E24" i="24"/>
  <c r="E14" i="24"/>
  <c r="D14" i="24"/>
  <c r="D36" i="24"/>
  <c r="L32" i="24"/>
  <c r="K32" i="24"/>
  <c r="J32" i="24"/>
  <c r="F31" i="24"/>
  <c r="E31" i="24"/>
  <c r="K19" i="24" s="1"/>
  <c r="D31" i="24"/>
  <c r="F30" i="24"/>
  <c r="E30" i="24"/>
  <c r="D30" i="24"/>
  <c r="L26" i="24"/>
  <c r="K26" i="24"/>
  <c r="J26" i="24"/>
  <c r="K23" i="24"/>
  <c r="K25" i="24" s="1"/>
  <c r="J23" i="24"/>
  <c r="F22" i="24"/>
  <c r="L24" i="24" s="1"/>
  <c r="E22" i="24"/>
  <c r="K24" i="24" s="1"/>
  <c r="D22" i="24"/>
  <c r="D25" i="24" s="1"/>
  <c r="F21" i="24"/>
  <c r="E21" i="24"/>
  <c r="I20" i="24"/>
  <c r="L19" i="24"/>
  <c r="J19" i="24"/>
  <c r="C17" i="24"/>
  <c r="J17" i="24"/>
  <c r="C16" i="24"/>
  <c r="J12" i="24"/>
  <c r="D10" i="24"/>
  <c r="D9" i="24"/>
  <c r="D13" i="24" s="1"/>
  <c r="L6" i="24"/>
  <c r="K6" i="24"/>
  <c r="J6" i="24"/>
  <c r="J5" i="24"/>
  <c r="J8" i="24" s="1"/>
  <c r="K5" i="24" s="1"/>
  <c r="K2" i="24"/>
  <c r="D23" i="24" s="1"/>
  <c r="E2" i="24"/>
  <c r="E9" i="24" s="1"/>
  <c r="K31" i="7"/>
  <c r="L31" i="7"/>
  <c r="J31" i="7"/>
  <c r="K24" i="7"/>
  <c r="L24" i="7"/>
  <c r="J24" i="7"/>
  <c r="K23" i="7"/>
  <c r="L23" i="7"/>
  <c r="J23" i="7"/>
  <c r="K22" i="7"/>
  <c r="L22" i="7"/>
  <c r="J22" i="7"/>
  <c r="I19" i="7"/>
  <c r="J16" i="7" s="1"/>
  <c r="K5" i="7"/>
  <c r="C16" i="7"/>
  <c r="J11" i="7"/>
  <c r="J11" i="1"/>
  <c r="K6" i="7"/>
  <c r="L6" i="7"/>
  <c r="K6" i="1"/>
  <c r="L6" i="1"/>
  <c r="K7" i="1"/>
  <c r="L7" i="1"/>
  <c r="J6" i="7"/>
  <c r="J7" i="1"/>
  <c r="J6" i="1"/>
  <c r="J8" i="1" s="1"/>
  <c r="J5" i="7"/>
  <c r="J7" i="7" s="1"/>
  <c r="I2" i="1"/>
  <c r="I3" i="1" s="1"/>
  <c r="P11" i="21"/>
  <c r="Q11" i="21"/>
  <c r="O11" i="21"/>
  <c r="P7" i="21"/>
  <c r="Q7" i="21"/>
  <c r="Q9" i="21" s="1"/>
  <c r="O7" i="21"/>
  <c r="Q6" i="21"/>
  <c r="O10" i="21"/>
  <c r="P11" i="23"/>
  <c r="Q11" i="23"/>
  <c r="O11" i="23"/>
  <c r="P9" i="23"/>
  <c r="Q9" i="23"/>
  <c r="O9" i="23"/>
  <c r="Q6" i="23"/>
  <c r="Q5" i="23"/>
  <c r="Q13" i="23"/>
  <c r="P13" i="23"/>
  <c r="O13" i="23"/>
  <c r="P4" i="23"/>
  <c r="O4" i="23"/>
  <c r="P3" i="23"/>
  <c r="Q3" i="23"/>
  <c r="O3" i="23"/>
  <c r="G12" i="23"/>
  <c r="H13" i="23" s="1"/>
  <c r="H12" i="23"/>
  <c r="F12" i="23"/>
  <c r="H9" i="23"/>
  <c r="H8" i="23"/>
  <c r="F13" i="23"/>
  <c r="H15" i="22"/>
  <c r="G12" i="22"/>
  <c r="F12" i="22"/>
  <c r="G13" i="22" s="1"/>
  <c r="G15" i="22" s="1"/>
  <c r="H10" i="22"/>
  <c r="Q5" i="22" s="1"/>
  <c r="H9" i="22"/>
  <c r="H8" i="22"/>
  <c r="Q4" i="22"/>
  <c r="P4" i="22"/>
  <c r="P15" i="22" s="1"/>
  <c r="O4" i="22"/>
  <c r="O6" i="22" s="1"/>
  <c r="O10" i="22" s="1"/>
  <c r="O13" i="22" s="1"/>
  <c r="Q5" i="20"/>
  <c r="P5" i="21"/>
  <c r="O5" i="21"/>
  <c r="O13" i="21"/>
  <c r="G13" i="21"/>
  <c r="F13" i="21"/>
  <c r="G12" i="21"/>
  <c r="F12" i="21"/>
  <c r="Q10" i="21"/>
  <c r="P10" i="21"/>
  <c r="H9" i="21"/>
  <c r="H8" i="21"/>
  <c r="H10" i="21" s="1"/>
  <c r="Q4" i="21"/>
  <c r="P4" i="21"/>
  <c r="P13" i="21" s="1"/>
  <c r="O4" i="21"/>
  <c r="G15" i="20"/>
  <c r="H15" i="20"/>
  <c r="F15" i="20"/>
  <c r="P4" i="20"/>
  <c r="P15" i="20" s="1"/>
  <c r="Q4" i="20"/>
  <c r="O4" i="20"/>
  <c r="O15" i="20" s="1"/>
  <c r="G12" i="20"/>
  <c r="F12" i="20"/>
  <c r="H9" i="20"/>
  <c r="H8" i="20"/>
  <c r="J14" i="19"/>
  <c r="H14" i="19"/>
  <c r="F14" i="19"/>
  <c r="F16" i="19" s="1"/>
  <c r="F19" i="19" s="1"/>
  <c r="F24" i="19" s="1"/>
  <c r="D14" i="19"/>
  <c r="H13" i="19"/>
  <c r="F13" i="19"/>
  <c r="D13" i="19"/>
  <c r="J18" i="19"/>
  <c r="H18" i="19"/>
  <c r="H23" i="19" s="1"/>
  <c r="F18" i="19"/>
  <c r="F23" i="19" s="1"/>
  <c r="D18" i="19"/>
  <c r="D23" i="19" s="1"/>
  <c r="J13" i="19"/>
  <c r="J16" i="19" s="1"/>
  <c r="J19" i="19" s="1"/>
  <c r="J24" i="19" s="1"/>
  <c r="H16" i="19"/>
  <c r="H19" i="19" s="1"/>
  <c r="H24" i="19" s="1"/>
  <c r="D16" i="19"/>
  <c r="D19" i="19" s="1"/>
  <c r="D24" i="19" s="1"/>
  <c r="J25" i="18"/>
  <c r="H25" i="18"/>
  <c r="F25" i="18"/>
  <c r="D25" i="18"/>
  <c r="J24" i="18"/>
  <c r="H24" i="18"/>
  <c r="F24" i="18"/>
  <c r="D24" i="18"/>
  <c r="D23" i="18"/>
  <c r="J18" i="18"/>
  <c r="J14" i="18"/>
  <c r="J13" i="18"/>
  <c r="J16" i="18" s="1"/>
  <c r="J19" i="18" s="1"/>
  <c r="H18" i="18"/>
  <c r="H23" i="18" s="1"/>
  <c r="H14" i="18"/>
  <c r="H13" i="18"/>
  <c r="H16" i="18" s="1"/>
  <c r="H19" i="18" s="1"/>
  <c r="F18" i="18"/>
  <c r="F23" i="18" s="1"/>
  <c r="F14" i="18"/>
  <c r="F13" i="18"/>
  <c r="D18" i="18"/>
  <c r="D14" i="18"/>
  <c r="D13" i="18"/>
  <c r="I19" i="1"/>
  <c r="J16" i="1" s="1"/>
  <c r="C16" i="2"/>
  <c r="D14" i="2"/>
  <c r="E14" i="2" s="1"/>
  <c r="F22" i="17"/>
  <c r="G22" i="17"/>
  <c r="H22" i="17"/>
  <c r="I22" i="17"/>
  <c r="J22" i="17"/>
  <c r="K22" i="17"/>
  <c r="L22" i="17"/>
  <c r="E22" i="17"/>
  <c r="F18" i="17"/>
  <c r="G18" i="17"/>
  <c r="H18" i="17"/>
  <c r="I18" i="17"/>
  <c r="J18" i="17"/>
  <c r="K18" i="17"/>
  <c r="L18" i="17"/>
  <c r="E18" i="17"/>
  <c r="G6" i="17"/>
  <c r="H6" i="17" s="1"/>
  <c r="I6" i="17" s="1"/>
  <c r="J6" i="17" s="1"/>
  <c r="K6" i="17" s="1"/>
  <c r="L6" i="17" s="1"/>
  <c r="F6" i="17"/>
  <c r="E20" i="17"/>
  <c r="L9" i="17"/>
  <c r="K9" i="17"/>
  <c r="J9" i="17"/>
  <c r="I9" i="17"/>
  <c r="H9" i="17"/>
  <c r="G9" i="17"/>
  <c r="F9" i="17"/>
  <c r="F12" i="17" s="1"/>
  <c r="G13" i="17" s="1"/>
  <c r="E9" i="17"/>
  <c r="E12" i="17" s="1"/>
  <c r="F7" i="17"/>
  <c r="F20" i="17" s="1"/>
  <c r="G6" i="16"/>
  <c r="H6" i="16" s="1"/>
  <c r="I6" i="16" s="1"/>
  <c r="J6" i="16" s="1"/>
  <c r="K6" i="16" s="1"/>
  <c r="L6" i="16" s="1"/>
  <c r="F6" i="16"/>
  <c r="E19" i="16"/>
  <c r="F11" i="16"/>
  <c r="G12" i="16" s="1"/>
  <c r="L8" i="16"/>
  <c r="K8" i="16"/>
  <c r="J8" i="16"/>
  <c r="I8" i="16"/>
  <c r="H8" i="16"/>
  <c r="G8" i="16"/>
  <c r="F8" i="16"/>
  <c r="E8" i="16"/>
  <c r="E11" i="16" s="1"/>
  <c r="F19" i="16"/>
  <c r="F19" i="15"/>
  <c r="F8" i="15"/>
  <c r="G8" i="15"/>
  <c r="H8" i="15"/>
  <c r="I8" i="15"/>
  <c r="J8" i="15"/>
  <c r="K8" i="15"/>
  <c r="L8" i="15"/>
  <c r="F6" i="15"/>
  <c r="F11" i="15" s="1"/>
  <c r="G12" i="15" s="1"/>
  <c r="E19" i="15"/>
  <c r="E8" i="15"/>
  <c r="E11" i="15" s="1"/>
  <c r="F22" i="14"/>
  <c r="E22" i="14"/>
  <c r="E20" i="14"/>
  <c r="E8" i="14"/>
  <c r="E12" i="14" s="1"/>
  <c r="F13" i="14" s="1"/>
  <c r="F18" i="14" s="1"/>
  <c r="D28" i="13"/>
  <c r="E28" i="13"/>
  <c r="F28" i="13"/>
  <c r="C28" i="13"/>
  <c r="H30" i="13"/>
  <c r="H29" i="13"/>
  <c r="F29" i="13"/>
  <c r="E30" i="13"/>
  <c r="F30" i="13"/>
  <c r="D30" i="13"/>
  <c r="E25" i="13"/>
  <c r="F25" i="13"/>
  <c r="D25" i="13"/>
  <c r="D23" i="13"/>
  <c r="E23" i="13"/>
  <c r="F23" i="13"/>
  <c r="C23" i="13"/>
  <c r="D22" i="13"/>
  <c r="E22" i="13"/>
  <c r="F22" i="13"/>
  <c r="C22" i="13"/>
  <c r="D21" i="13"/>
  <c r="E21" i="13"/>
  <c r="F21" i="13"/>
  <c r="C21" i="13"/>
  <c r="D20" i="13"/>
  <c r="E20" i="13"/>
  <c r="F20" i="13"/>
  <c r="C20" i="13"/>
  <c r="E19" i="13"/>
  <c r="F19" i="13"/>
  <c r="D19" i="13"/>
  <c r="C19" i="13"/>
  <c r="F15" i="13"/>
  <c r="F13" i="13"/>
  <c r="F11" i="13"/>
  <c r="F4" i="12"/>
  <c r="G4" i="12" s="1"/>
  <c r="E4" i="12"/>
  <c r="D38" i="12"/>
  <c r="P22" i="12"/>
  <c r="O22" i="12"/>
  <c r="L22" i="12"/>
  <c r="H22" i="12"/>
  <c r="G22" i="12"/>
  <c r="D22" i="12"/>
  <c r="D24" i="12" s="1"/>
  <c r="C22" i="12"/>
  <c r="H19" i="12"/>
  <c r="G19" i="12"/>
  <c r="F19" i="12"/>
  <c r="E19" i="12"/>
  <c r="D19" i="12"/>
  <c r="F18" i="12"/>
  <c r="K19" i="12" s="1"/>
  <c r="E18" i="12"/>
  <c r="J19" i="12" s="1"/>
  <c r="D18" i="12"/>
  <c r="I19" i="12" s="1"/>
  <c r="D17" i="12"/>
  <c r="O11" i="12"/>
  <c r="N11" i="12"/>
  <c r="G11" i="12"/>
  <c r="F11" i="12"/>
  <c r="C11" i="12"/>
  <c r="R11" i="12" s="1"/>
  <c r="M8" i="12"/>
  <c r="M40" i="12" s="1"/>
  <c r="L8" i="12"/>
  <c r="L40" i="12" s="1"/>
  <c r="K8" i="12"/>
  <c r="K40" i="12" s="1"/>
  <c r="J8" i="12"/>
  <c r="J40" i="12" s="1"/>
  <c r="I8" i="12"/>
  <c r="I40" i="12" s="1"/>
  <c r="H8" i="12"/>
  <c r="H40" i="12" s="1"/>
  <c r="G8" i="12"/>
  <c r="G40" i="12" s="1"/>
  <c r="F8" i="12"/>
  <c r="F40" i="12" s="1"/>
  <c r="E8" i="12"/>
  <c r="E40" i="12" s="1"/>
  <c r="D8" i="12"/>
  <c r="D40" i="12" s="1"/>
  <c r="F7" i="12"/>
  <c r="P8" i="12" s="1"/>
  <c r="P40" i="12" s="1"/>
  <c r="E7" i="12"/>
  <c r="O8" i="12" s="1"/>
  <c r="O40" i="12" s="1"/>
  <c r="D7" i="12"/>
  <c r="N8" i="12" s="1"/>
  <c r="N40" i="12" s="1"/>
  <c r="D6" i="12"/>
  <c r="E18" i="8"/>
  <c r="J19" i="8" s="1"/>
  <c r="F18" i="8"/>
  <c r="G18" i="8"/>
  <c r="L19" i="8" s="1"/>
  <c r="H18" i="8"/>
  <c r="I18" i="8"/>
  <c r="N19" i="8" s="1"/>
  <c r="J18" i="8"/>
  <c r="K18" i="8"/>
  <c r="P19" i="8" s="1"/>
  <c r="L18" i="8"/>
  <c r="M18" i="8"/>
  <c r="R19" i="8" s="1"/>
  <c r="N18" i="8"/>
  <c r="O18" i="8"/>
  <c r="P18" i="8"/>
  <c r="Q18" i="8"/>
  <c r="R18" i="8"/>
  <c r="D18" i="8"/>
  <c r="E19" i="8"/>
  <c r="F19" i="8"/>
  <c r="G19" i="8"/>
  <c r="H19" i="8"/>
  <c r="D19" i="8"/>
  <c r="C22" i="8"/>
  <c r="E22" i="8" s="1"/>
  <c r="Q19" i="8"/>
  <c r="O19" i="8"/>
  <c r="M19" i="8"/>
  <c r="K19" i="8"/>
  <c r="I19" i="8"/>
  <c r="D17" i="8"/>
  <c r="O7" i="8"/>
  <c r="P7" i="8"/>
  <c r="Q7" i="8"/>
  <c r="R7" i="8"/>
  <c r="F4" i="9"/>
  <c r="G4" i="9" s="1"/>
  <c r="E4" i="9"/>
  <c r="E8" i="9"/>
  <c r="F8" i="9"/>
  <c r="K9" i="9" s="1"/>
  <c r="K19" i="9" s="1"/>
  <c r="D17" i="9"/>
  <c r="N12" i="9"/>
  <c r="J12" i="9"/>
  <c r="H12" i="9"/>
  <c r="F12" i="9"/>
  <c r="D12" i="9"/>
  <c r="D14" i="9" s="1"/>
  <c r="D18" i="9" s="1"/>
  <c r="C12" i="9"/>
  <c r="L12" i="9" s="1"/>
  <c r="H9" i="9"/>
  <c r="H19" i="9" s="1"/>
  <c r="G9" i="9"/>
  <c r="G19" i="9" s="1"/>
  <c r="F9" i="9"/>
  <c r="F19" i="9" s="1"/>
  <c r="E9" i="9"/>
  <c r="E19" i="9" s="1"/>
  <c r="D9" i="9"/>
  <c r="D19" i="9" s="1"/>
  <c r="J9" i="9"/>
  <c r="J19" i="9" s="1"/>
  <c r="D8" i="9"/>
  <c r="I9" i="9" s="1"/>
  <c r="I19" i="9" s="1"/>
  <c r="D7" i="9"/>
  <c r="D38" i="8"/>
  <c r="C11" i="8"/>
  <c r="F11" i="8" s="1"/>
  <c r="E8" i="8"/>
  <c r="E40" i="8" s="1"/>
  <c r="F8" i="8"/>
  <c r="F40" i="8" s="1"/>
  <c r="G8" i="8"/>
  <c r="G40" i="8" s="1"/>
  <c r="H8" i="8"/>
  <c r="H40" i="8" s="1"/>
  <c r="I8" i="8"/>
  <c r="I40" i="8" s="1"/>
  <c r="J8" i="8"/>
  <c r="J40" i="8" s="1"/>
  <c r="K8" i="8"/>
  <c r="K40" i="8" s="1"/>
  <c r="L8" i="8"/>
  <c r="L40" i="8" s="1"/>
  <c r="M8" i="8"/>
  <c r="M40" i="8" s="1"/>
  <c r="E7" i="8"/>
  <c r="O8" i="8" s="1"/>
  <c r="O40" i="8" s="1"/>
  <c r="F7" i="8"/>
  <c r="P8" i="8" s="1"/>
  <c r="P40" i="8" s="1"/>
  <c r="G7" i="8"/>
  <c r="Q8" i="8" s="1"/>
  <c r="Q40" i="8" s="1"/>
  <c r="H7" i="8"/>
  <c r="R8" i="8" s="1"/>
  <c r="R40" i="8" s="1"/>
  <c r="I7" i="8"/>
  <c r="J7" i="8"/>
  <c r="K7" i="8"/>
  <c r="L7" i="8"/>
  <c r="M7" i="8"/>
  <c r="N7" i="8"/>
  <c r="D8" i="8"/>
  <c r="D7" i="8"/>
  <c r="N8" i="8" s="1"/>
  <c r="N40" i="8" s="1"/>
  <c r="D6" i="8"/>
  <c r="F17" i="3"/>
  <c r="F19" i="3" s="1"/>
  <c r="F18" i="3"/>
  <c r="E19" i="3"/>
  <c r="E18" i="3"/>
  <c r="E17" i="3"/>
  <c r="F14" i="3"/>
  <c r="E14" i="3"/>
  <c r="C23" i="32" l="1"/>
  <c r="C12" i="32"/>
  <c r="H7" i="31"/>
  <c r="Q39" i="33"/>
  <c r="R37" i="33" s="1"/>
  <c r="R39" i="33" s="1"/>
  <c r="S37" i="33" s="1"/>
  <c r="S39" i="33" s="1"/>
  <c r="J39" i="33"/>
  <c r="J42" i="33" s="1"/>
  <c r="Q33" i="33" s="1"/>
  <c r="Q34" i="33" s="1"/>
  <c r="R32" i="33" s="1"/>
  <c r="R34" i="33" s="1"/>
  <c r="S32" i="33" s="1"/>
  <c r="S34" i="33" s="1"/>
  <c r="H15" i="31"/>
  <c r="I25" i="28"/>
  <c r="J22" i="28" s="1"/>
  <c r="J25" i="28" s="1"/>
  <c r="J30" i="27"/>
  <c r="D29" i="27"/>
  <c r="J17" i="27" s="1"/>
  <c r="E13" i="27"/>
  <c r="F2" i="27"/>
  <c r="F9" i="27" s="1"/>
  <c r="E10" i="27"/>
  <c r="L35" i="27"/>
  <c r="L12" i="27"/>
  <c r="K30" i="27"/>
  <c r="J34" i="27"/>
  <c r="J36" i="27" s="1"/>
  <c r="D32" i="27"/>
  <c r="D37" i="27" s="1"/>
  <c r="L30" i="27"/>
  <c r="F14" i="27"/>
  <c r="F27" i="27"/>
  <c r="J12" i="27"/>
  <c r="J13" i="27" s="1"/>
  <c r="K11" i="27" s="1"/>
  <c r="D15" i="27"/>
  <c r="D17" i="27" s="1"/>
  <c r="E26" i="27"/>
  <c r="J8" i="26"/>
  <c r="J25" i="26"/>
  <c r="K25" i="26"/>
  <c r="D14" i="26"/>
  <c r="K5" i="26"/>
  <c r="K8" i="26" s="1"/>
  <c r="D24" i="26"/>
  <c r="E2" i="26"/>
  <c r="E9" i="26" s="1"/>
  <c r="L24" i="26"/>
  <c r="L25" i="26" s="1"/>
  <c r="L25" i="25"/>
  <c r="D15" i="25"/>
  <c r="F24" i="25"/>
  <c r="E24" i="25"/>
  <c r="J30" i="25"/>
  <c r="J13" i="25"/>
  <c r="D14" i="25"/>
  <c r="D16" i="25" s="1"/>
  <c r="K5" i="25"/>
  <c r="K8" i="25" s="1"/>
  <c r="K25" i="25"/>
  <c r="F2" i="25"/>
  <c r="F9" i="25" s="1"/>
  <c r="E13" i="25"/>
  <c r="E10" i="25"/>
  <c r="J14" i="25"/>
  <c r="K12" i="25" s="1"/>
  <c r="J24" i="25"/>
  <c r="J25" i="25" s="1"/>
  <c r="D31" i="25"/>
  <c r="E31" i="25" s="1"/>
  <c r="F31" i="25" s="1"/>
  <c r="E10" i="24"/>
  <c r="F2" i="24"/>
  <c r="F9" i="24" s="1"/>
  <c r="F10" i="24" s="1"/>
  <c r="J24" i="24"/>
  <c r="L5" i="24"/>
  <c r="L8" i="24" s="1"/>
  <c r="F14" i="24" s="1"/>
  <c r="J25" i="24"/>
  <c r="D28" i="24"/>
  <c r="J18" i="24"/>
  <c r="J20" i="24" s="1"/>
  <c r="J29" i="24"/>
  <c r="J30" i="24"/>
  <c r="E23" i="24"/>
  <c r="D15" i="24"/>
  <c r="J13" i="24"/>
  <c r="J14" i="24" s="1"/>
  <c r="K12" i="24" s="1"/>
  <c r="D17" i="24"/>
  <c r="E13" i="24"/>
  <c r="D29" i="24"/>
  <c r="E29" i="24" s="1"/>
  <c r="F29" i="24" s="1"/>
  <c r="L23" i="24"/>
  <c r="L25" i="24" s="1"/>
  <c r="K8" i="1"/>
  <c r="K7" i="7"/>
  <c r="L5" i="7" s="1"/>
  <c r="L7" i="7"/>
  <c r="L8" i="1"/>
  <c r="H10" i="23"/>
  <c r="G13" i="23"/>
  <c r="O6" i="23"/>
  <c r="O8" i="23" s="1"/>
  <c r="Q8" i="23"/>
  <c r="Q6" i="22"/>
  <c r="Q10" i="22" s="1"/>
  <c r="Q13" i="22" s="1"/>
  <c r="P6" i="22"/>
  <c r="P10" i="22" s="1"/>
  <c r="P13" i="22" s="1"/>
  <c r="Q15" i="22"/>
  <c r="F13" i="22"/>
  <c r="F15" i="22" s="1"/>
  <c r="O15" i="22"/>
  <c r="O9" i="21"/>
  <c r="Q13" i="21"/>
  <c r="P9" i="21"/>
  <c r="H10" i="20"/>
  <c r="G13" i="20"/>
  <c r="F13" i="20"/>
  <c r="D25" i="19"/>
  <c r="F25" i="19"/>
  <c r="H25" i="19"/>
  <c r="J20" i="19"/>
  <c r="J23" i="19"/>
  <c r="J25" i="19" s="1"/>
  <c r="D20" i="19"/>
  <c r="F20" i="19"/>
  <c r="H20" i="19"/>
  <c r="F16" i="18"/>
  <c r="F19" i="18" s="1"/>
  <c r="F20" i="18" s="1"/>
  <c r="D16" i="18"/>
  <c r="D19" i="18" s="1"/>
  <c r="D20" i="18" s="1"/>
  <c r="J20" i="18"/>
  <c r="J23" i="18"/>
  <c r="H20" i="18"/>
  <c r="F13" i="17"/>
  <c r="E14" i="17"/>
  <c r="G7" i="17"/>
  <c r="F12" i="16"/>
  <c r="F17" i="16" s="1"/>
  <c r="E13" i="16"/>
  <c r="G6" i="15"/>
  <c r="E13" i="15"/>
  <c r="F12" i="15"/>
  <c r="F17" i="15" s="1"/>
  <c r="E14" i="14"/>
  <c r="D20" i="12"/>
  <c r="E17" i="12" s="1"/>
  <c r="E20" i="12" s="1"/>
  <c r="F17" i="12" s="1"/>
  <c r="F20" i="12" s="1"/>
  <c r="G17" i="12" s="1"/>
  <c r="H4" i="12"/>
  <c r="G18" i="12"/>
  <c r="L19" i="12" s="1"/>
  <c r="G7" i="12"/>
  <c r="Q8" i="12" s="1"/>
  <c r="Q40" i="12" s="1"/>
  <c r="D9" i="12"/>
  <c r="J11" i="12"/>
  <c r="R22" i="12"/>
  <c r="N22" i="12"/>
  <c r="J22" i="12"/>
  <c r="F22" i="12"/>
  <c r="M22" i="12"/>
  <c r="E22" i="12"/>
  <c r="Q22" i="12"/>
  <c r="I22" i="12"/>
  <c r="K22" i="12"/>
  <c r="Q11" i="12"/>
  <c r="M11" i="12"/>
  <c r="I11" i="12"/>
  <c r="E11" i="12"/>
  <c r="L11" i="12"/>
  <c r="H11" i="12"/>
  <c r="P11" i="12"/>
  <c r="D11" i="12"/>
  <c r="D12" i="12" s="1"/>
  <c r="D39" i="12" s="1"/>
  <c r="D41" i="12" s="1"/>
  <c r="E38" i="12" s="1"/>
  <c r="K11" i="12"/>
  <c r="P22" i="8"/>
  <c r="D9" i="8"/>
  <c r="E6" i="8" s="1"/>
  <c r="E9" i="8" s="1"/>
  <c r="L22" i="8"/>
  <c r="H22" i="8"/>
  <c r="R11" i="8"/>
  <c r="D22" i="8"/>
  <c r="O22" i="8"/>
  <c r="K22" i="8"/>
  <c r="G22" i="8"/>
  <c r="O11" i="8"/>
  <c r="Q11" i="8"/>
  <c r="R22" i="8"/>
  <c r="N22" i="8"/>
  <c r="J22" i="8"/>
  <c r="F22" i="8"/>
  <c r="P11" i="8"/>
  <c r="Q22" i="8"/>
  <c r="M22" i="8"/>
  <c r="I22" i="8"/>
  <c r="D20" i="8"/>
  <c r="E17" i="8" s="1"/>
  <c r="E20" i="8" s="1"/>
  <c r="F17" i="8" s="1"/>
  <c r="F20" i="8" s="1"/>
  <c r="G17" i="8" s="1"/>
  <c r="G20" i="8" s="1"/>
  <c r="H17" i="8" s="1"/>
  <c r="D24" i="8"/>
  <c r="D10" i="9"/>
  <c r="E7" i="9" s="1"/>
  <c r="E10" i="9" s="1"/>
  <c r="G8" i="9"/>
  <c r="H4" i="9"/>
  <c r="L9" i="9"/>
  <c r="L19" i="9" s="1"/>
  <c r="D20" i="9"/>
  <c r="E17" i="9" s="1"/>
  <c r="E12" i="9"/>
  <c r="I12" i="9"/>
  <c r="M12" i="9"/>
  <c r="G12" i="9"/>
  <c r="K12" i="9"/>
  <c r="M11" i="8"/>
  <c r="I11" i="8"/>
  <c r="E11" i="8"/>
  <c r="H11" i="8"/>
  <c r="D11" i="8"/>
  <c r="D12" i="8" s="1"/>
  <c r="D39" i="8" s="1"/>
  <c r="K11" i="8"/>
  <c r="G11" i="8"/>
  <c r="L11" i="8"/>
  <c r="N11" i="8"/>
  <c r="J11" i="8"/>
  <c r="D40" i="8"/>
  <c r="C13" i="32" l="1"/>
  <c r="G22" i="32" s="1"/>
  <c r="F28" i="27"/>
  <c r="F29" i="27" s="1"/>
  <c r="L17" i="27" s="1"/>
  <c r="E12" i="8"/>
  <c r="E39" i="8" s="1"/>
  <c r="K12" i="27"/>
  <c r="K13" i="27" s="1"/>
  <c r="L11" i="27" s="1"/>
  <c r="L13" i="27" s="1"/>
  <c r="K35" i="27"/>
  <c r="E15" i="27"/>
  <c r="E17" i="27" s="1"/>
  <c r="D16" i="27"/>
  <c r="E27" i="27"/>
  <c r="F13" i="27"/>
  <c r="F10" i="27"/>
  <c r="F32" i="27"/>
  <c r="F37" i="27" s="1"/>
  <c r="L34" i="27"/>
  <c r="L36" i="27" s="1"/>
  <c r="E14" i="26"/>
  <c r="L5" i="26"/>
  <c r="L8" i="26" s="1"/>
  <c r="F14" i="26" s="1"/>
  <c r="E10" i="26"/>
  <c r="F2" i="26"/>
  <c r="F9" i="26" s="1"/>
  <c r="E13" i="26"/>
  <c r="F24" i="26"/>
  <c r="J13" i="26"/>
  <c r="J14" i="26" s="1"/>
  <c r="K12" i="26" s="1"/>
  <c r="D27" i="26"/>
  <c r="D15" i="26"/>
  <c r="E15" i="26" s="1"/>
  <c r="J30" i="26"/>
  <c r="E24" i="26"/>
  <c r="F30" i="25"/>
  <c r="F34" i="25" s="1"/>
  <c r="L29" i="25"/>
  <c r="L18" i="25"/>
  <c r="F10" i="25"/>
  <c r="F13" i="25"/>
  <c r="L5" i="25"/>
  <c r="L8" i="25" s="1"/>
  <c r="F14" i="25" s="1"/>
  <c r="E14" i="25"/>
  <c r="K14" i="25"/>
  <c r="L12" i="25" s="1"/>
  <c r="K30" i="25"/>
  <c r="K13" i="25"/>
  <c r="J29" i="25"/>
  <c r="J31" i="25" s="1"/>
  <c r="J18" i="25"/>
  <c r="J20" i="25" s="1"/>
  <c r="D30" i="25"/>
  <c r="D34" i="25" s="1"/>
  <c r="L30" i="25"/>
  <c r="L13" i="25"/>
  <c r="E15" i="25"/>
  <c r="F15" i="25" s="1"/>
  <c r="F13" i="24"/>
  <c r="J31" i="24"/>
  <c r="E28" i="24"/>
  <c r="E32" i="24" s="1"/>
  <c r="K18" i="24"/>
  <c r="K29" i="24"/>
  <c r="K31" i="24" s="1"/>
  <c r="D18" i="24"/>
  <c r="D35" i="24" s="1"/>
  <c r="D37" i="24" s="1"/>
  <c r="K17" i="24"/>
  <c r="K30" i="24"/>
  <c r="K13" i="24"/>
  <c r="K14" i="24" s="1"/>
  <c r="L12" i="24" s="1"/>
  <c r="L14" i="24" s="1"/>
  <c r="L13" i="24"/>
  <c r="L30" i="24"/>
  <c r="F25" i="24"/>
  <c r="E15" i="24"/>
  <c r="E17" i="24" s="1"/>
  <c r="D16" i="24"/>
  <c r="D32" i="24"/>
  <c r="P6" i="23"/>
  <c r="P8" i="23" s="1"/>
  <c r="P6" i="20"/>
  <c r="P10" i="20" s="1"/>
  <c r="Q15" i="20"/>
  <c r="O6" i="20"/>
  <c r="O10" i="20" s="1"/>
  <c r="H7" i="17"/>
  <c r="G12" i="17"/>
  <c r="G20" i="17"/>
  <c r="F11" i="17"/>
  <c r="F14" i="17" s="1"/>
  <c r="E16" i="17"/>
  <c r="E21" i="17" s="1"/>
  <c r="G11" i="16"/>
  <c r="G19" i="16"/>
  <c r="F10" i="16"/>
  <c r="F13" i="16" s="1"/>
  <c r="E17" i="16"/>
  <c r="E15" i="16"/>
  <c r="E20" i="16" s="1"/>
  <c r="E21" i="16" s="1"/>
  <c r="H6" i="15"/>
  <c r="G19" i="15"/>
  <c r="G11" i="15"/>
  <c r="H12" i="15" s="1"/>
  <c r="G17" i="15"/>
  <c r="E15" i="15"/>
  <c r="E20" i="15" s="1"/>
  <c r="E21" i="15" s="1"/>
  <c r="F10" i="15"/>
  <c r="F13" i="15" s="1"/>
  <c r="E17" i="15"/>
  <c r="E16" i="14"/>
  <c r="E21" i="14" s="1"/>
  <c r="E18" i="14"/>
  <c r="F11" i="14"/>
  <c r="F14" i="14" s="1"/>
  <c r="F16" i="14" s="1"/>
  <c r="F21" i="14" s="1"/>
  <c r="G20" i="12"/>
  <c r="H17" i="12" s="1"/>
  <c r="H24" i="12" s="1"/>
  <c r="G24" i="12"/>
  <c r="F24" i="12"/>
  <c r="E24" i="12"/>
  <c r="H18" i="12"/>
  <c r="M19" i="12" s="1"/>
  <c r="H7" i="12"/>
  <c r="R8" i="12" s="1"/>
  <c r="R40" i="12" s="1"/>
  <c r="I4" i="12"/>
  <c r="E6" i="12"/>
  <c r="E9" i="12" s="1"/>
  <c r="D43" i="12"/>
  <c r="E24" i="8"/>
  <c r="G24" i="8"/>
  <c r="F24" i="8"/>
  <c r="H24" i="8"/>
  <c r="H20" i="8"/>
  <c r="I17" i="8" s="1"/>
  <c r="E14" i="9"/>
  <c r="E25" i="9" s="1"/>
  <c r="I4" i="9"/>
  <c r="H8" i="9"/>
  <c r="M9" i="9"/>
  <c r="M19" i="9" s="1"/>
  <c r="D22" i="9"/>
  <c r="F7" i="9"/>
  <c r="D41" i="8"/>
  <c r="E38" i="8" s="1"/>
  <c r="F6" i="8"/>
  <c r="F12" i="8" s="1"/>
  <c r="F39" i="8" s="1"/>
  <c r="C14" i="32" l="1"/>
  <c r="E25" i="8"/>
  <c r="E27" i="8" s="1"/>
  <c r="E28" i="8" s="1"/>
  <c r="E41" i="8"/>
  <c r="F38" i="8" s="1"/>
  <c r="F41" i="8" s="1"/>
  <c r="G38" i="8" s="1"/>
  <c r="E28" i="27"/>
  <c r="E29" i="27" s="1"/>
  <c r="K17" i="27" s="1"/>
  <c r="K34" i="27"/>
  <c r="K36" i="27" s="1"/>
  <c r="E32" i="27"/>
  <c r="E37" i="27" s="1"/>
  <c r="F15" i="27"/>
  <c r="F16" i="27" s="1"/>
  <c r="E16" i="27"/>
  <c r="L13" i="26"/>
  <c r="L30" i="26"/>
  <c r="F27" i="26"/>
  <c r="F13" i="26"/>
  <c r="F18" i="26" s="1"/>
  <c r="F10" i="26"/>
  <c r="F15" i="26"/>
  <c r="D18" i="26"/>
  <c r="D30" i="26"/>
  <c r="D34" i="26" s="1"/>
  <c r="J29" i="26"/>
  <c r="J31" i="26" s="1"/>
  <c r="J18" i="26"/>
  <c r="J20" i="26" s="1"/>
  <c r="D16" i="26"/>
  <c r="F16" i="26"/>
  <c r="K30" i="26"/>
  <c r="K13" i="26"/>
  <c r="E27" i="26"/>
  <c r="K14" i="26"/>
  <c r="L12" i="26" s="1"/>
  <c r="L14" i="26" s="1"/>
  <c r="E18" i="26"/>
  <c r="E16" i="26"/>
  <c r="E30" i="25"/>
  <c r="E34" i="25" s="1"/>
  <c r="K29" i="25"/>
  <c r="K31" i="25" s="1"/>
  <c r="K18" i="25"/>
  <c r="F16" i="25"/>
  <c r="L31" i="25"/>
  <c r="L14" i="25"/>
  <c r="E16" i="25"/>
  <c r="K17" i="25"/>
  <c r="D19" i="25"/>
  <c r="D37" i="25" s="1"/>
  <c r="D39" i="25" s="1"/>
  <c r="K20" i="24"/>
  <c r="E18" i="24" s="1"/>
  <c r="L17" i="24"/>
  <c r="F15" i="24"/>
  <c r="E16" i="24"/>
  <c r="L29" i="24"/>
  <c r="L31" i="24" s="1"/>
  <c r="F28" i="24"/>
  <c r="F32" i="24" s="1"/>
  <c r="L18" i="24"/>
  <c r="P13" i="20"/>
  <c r="O13" i="20"/>
  <c r="Q6" i="20"/>
  <c r="Q10" i="20" s="1"/>
  <c r="H13" i="17"/>
  <c r="F16" i="17"/>
  <c r="F21" i="17" s="1"/>
  <c r="G11" i="17"/>
  <c r="G14" i="17" s="1"/>
  <c r="H12" i="17"/>
  <c r="I13" i="17" s="1"/>
  <c r="H20" i="17"/>
  <c r="I7" i="17"/>
  <c r="F15" i="16"/>
  <c r="F20" i="16" s="1"/>
  <c r="F21" i="16" s="1"/>
  <c r="G10" i="16"/>
  <c r="G13" i="16" s="1"/>
  <c r="H12" i="16"/>
  <c r="H17" i="16" s="1"/>
  <c r="G17" i="16"/>
  <c r="H11" i="16"/>
  <c r="I12" i="16" s="1"/>
  <c r="H19" i="16"/>
  <c r="I6" i="15"/>
  <c r="H19" i="15"/>
  <c r="H11" i="15"/>
  <c r="I12" i="15" s="1"/>
  <c r="H17" i="15"/>
  <c r="F15" i="15"/>
  <c r="F20" i="15" s="1"/>
  <c r="F21" i="15" s="1"/>
  <c r="G10" i="15"/>
  <c r="G13" i="15" s="1"/>
  <c r="H20" i="12"/>
  <c r="I17" i="12" s="1"/>
  <c r="I24" i="12" s="1"/>
  <c r="J4" i="12"/>
  <c r="I18" i="12"/>
  <c r="N19" i="12" s="1"/>
  <c r="I7" i="12"/>
  <c r="F6" i="12"/>
  <c r="E12" i="12"/>
  <c r="F25" i="8"/>
  <c r="F27" i="8" s="1"/>
  <c r="I20" i="8"/>
  <c r="J17" i="8" s="1"/>
  <c r="I24" i="8"/>
  <c r="E18" i="9"/>
  <c r="E20" i="9" s="1"/>
  <c r="F17" i="9" s="1"/>
  <c r="E24" i="9"/>
  <c r="J4" i="9"/>
  <c r="I8" i="9"/>
  <c r="N9" i="9" s="1"/>
  <c r="N19" i="9" s="1"/>
  <c r="F10" i="9"/>
  <c r="F14" i="9"/>
  <c r="F25" i="9" s="1"/>
  <c r="D43" i="8"/>
  <c r="F9" i="8"/>
  <c r="G6" i="8" s="1"/>
  <c r="G12" i="8" s="1"/>
  <c r="G39" i="8" s="1"/>
  <c r="G19" i="32" l="1"/>
  <c r="G25" i="32" s="1"/>
  <c r="G2" i="32"/>
  <c r="G6" i="32" s="1"/>
  <c r="G14" i="32" s="1"/>
  <c r="F28" i="8"/>
  <c r="E43" i="8"/>
  <c r="F17" i="27"/>
  <c r="D19" i="26"/>
  <c r="D37" i="26" s="1"/>
  <c r="D39" i="26" s="1"/>
  <c r="K17" i="26"/>
  <c r="K18" i="26"/>
  <c r="K29" i="26"/>
  <c r="K31" i="26" s="1"/>
  <c r="E30" i="26"/>
  <c r="E34" i="26" s="1"/>
  <c r="F30" i="26"/>
  <c r="F34" i="26" s="1"/>
  <c r="L29" i="26"/>
  <c r="L31" i="26" s="1"/>
  <c r="L18" i="26"/>
  <c r="K20" i="25"/>
  <c r="L17" i="25" s="1"/>
  <c r="L20" i="25" s="1"/>
  <c r="F19" i="25" s="1"/>
  <c r="F16" i="24"/>
  <c r="F17" i="24"/>
  <c r="L20" i="24"/>
  <c r="F18" i="24" s="1"/>
  <c r="Q13" i="20"/>
  <c r="I12" i="17"/>
  <c r="J13" i="17" s="1"/>
  <c r="J7" i="17"/>
  <c r="I20" i="17"/>
  <c r="H11" i="17"/>
  <c r="H14" i="17" s="1"/>
  <c r="G16" i="17"/>
  <c r="G21" i="17" s="1"/>
  <c r="I11" i="16"/>
  <c r="J12" i="16" s="1"/>
  <c r="I19" i="16"/>
  <c r="H10" i="16"/>
  <c r="H13" i="16" s="1"/>
  <c r="G15" i="16"/>
  <c r="G20" i="16" s="1"/>
  <c r="G21" i="16" s="1"/>
  <c r="J6" i="15"/>
  <c r="I11" i="15"/>
  <c r="J12" i="15" s="1"/>
  <c r="I19" i="15"/>
  <c r="H10" i="15"/>
  <c r="H13" i="15" s="1"/>
  <c r="G15" i="15"/>
  <c r="G20" i="15" s="1"/>
  <c r="G21" i="15" s="1"/>
  <c r="J18" i="12"/>
  <c r="O19" i="12" s="1"/>
  <c r="J7" i="12"/>
  <c r="K4" i="12"/>
  <c r="I20" i="12"/>
  <c r="J17" i="12" s="1"/>
  <c r="E39" i="12"/>
  <c r="E41" i="12" s="1"/>
  <c r="E25" i="12"/>
  <c r="E27" i="12" s="1"/>
  <c r="E28" i="12" s="1"/>
  <c r="F9" i="12"/>
  <c r="F12" i="12"/>
  <c r="G25" i="8"/>
  <c r="G27" i="8" s="1"/>
  <c r="J20" i="8"/>
  <c r="K17" i="8" s="1"/>
  <c r="J24" i="8"/>
  <c r="E22" i="9"/>
  <c r="F18" i="9"/>
  <c r="F20" i="9" s="1"/>
  <c r="G17" i="9" s="1"/>
  <c r="F24" i="9"/>
  <c r="J8" i="9"/>
  <c r="K4" i="9"/>
  <c r="F43" i="8"/>
  <c r="G7" i="9"/>
  <c r="G41" i="8"/>
  <c r="H38" i="8" s="1"/>
  <c r="G9" i="8"/>
  <c r="H6" i="8" s="1"/>
  <c r="H9" i="8" s="1"/>
  <c r="G28" i="8" l="1"/>
  <c r="K20" i="26"/>
  <c r="E19" i="25"/>
  <c r="I11" i="17"/>
  <c r="I14" i="17" s="1"/>
  <c r="H16" i="17"/>
  <c r="H21" i="17" s="1"/>
  <c r="J20" i="17"/>
  <c r="J12" i="17"/>
  <c r="K13" i="17" s="1"/>
  <c r="K7" i="17"/>
  <c r="I17" i="16"/>
  <c r="I10" i="16"/>
  <c r="I13" i="16" s="1"/>
  <c r="H15" i="16"/>
  <c r="H20" i="16" s="1"/>
  <c r="H21" i="16" s="1"/>
  <c r="J19" i="16"/>
  <c r="J11" i="16"/>
  <c r="K12" i="16" s="1"/>
  <c r="K6" i="15"/>
  <c r="J11" i="15"/>
  <c r="K12" i="15" s="1"/>
  <c r="J19" i="15"/>
  <c r="I17" i="15"/>
  <c r="H15" i="15"/>
  <c r="H20" i="15" s="1"/>
  <c r="H21" i="15" s="1"/>
  <c r="I10" i="15"/>
  <c r="I13" i="15" s="1"/>
  <c r="L4" i="12"/>
  <c r="K18" i="12"/>
  <c r="P19" i="12" s="1"/>
  <c r="K7" i="12"/>
  <c r="J20" i="12"/>
  <c r="K17" i="12" s="1"/>
  <c r="J24" i="12"/>
  <c r="F38" i="12"/>
  <c r="E43" i="12"/>
  <c r="F39" i="12"/>
  <c r="F25" i="12"/>
  <c r="F27" i="12" s="1"/>
  <c r="F28" i="12" s="1"/>
  <c r="G6" i="12"/>
  <c r="K20" i="8"/>
  <c r="L17" i="8" s="1"/>
  <c r="K24" i="8"/>
  <c r="F22" i="9"/>
  <c r="K8" i="9"/>
  <c r="L4" i="9"/>
  <c r="G10" i="9"/>
  <c r="G14" i="9"/>
  <c r="G25" i="9" s="1"/>
  <c r="G43" i="8"/>
  <c r="H12" i="8"/>
  <c r="I6" i="8"/>
  <c r="L17" i="26" l="1"/>
  <c r="L20" i="26" s="1"/>
  <c r="F19" i="26" s="1"/>
  <c r="E19" i="26"/>
  <c r="L7" i="17"/>
  <c r="K12" i="17"/>
  <c r="L13" i="17" s="1"/>
  <c r="K20" i="17"/>
  <c r="J11" i="17"/>
  <c r="J14" i="17" s="1"/>
  <c r="I16" i="17"/>
  <c r="I21" i="17" s="1"/>
  <c r="J17" i="16"/>
  <c r="K19" i="16"/>
  <c r="K11" i="16"/>
  <c r="L12" i="16" s="1"/>
  <c r="J10" i="16"/>
  <c r="J13" i="16" s="1"/>
  <c r="I15" i="16"/>
  <c r="I20" i="16" s="1"/>
  <c r="I21" i="16" s="1"/>
  <c r="L6" i="15"/>
  <c r="K19" i="15"/>
  <c r="K11" i="15"/>
  <c r="L12" i="15" s="1"/>
  <c r="J17" i="15"/>
  <c r="I15" i="15"/>
  <c r="I20" i="15" s="1"/>
  <c r="I21" i="15" s="1"/>
  <c r="J10" i="15"/>
  <c r="J13" i="15" s="1"/>
  <c r="K20" i="12"/>
  <c r="L17" i="12" s="1"/>
  <c r="K24" i="12"/>
  <c r="L18" i="12"/>
  <c r="Q19" i="12" s="1"/>
  <c r="L7" i="12"/>
  <c r="M4" i="12"/>
  <c r="G12" i="12"/>
  <c r="G9" i="12"/>
  <c r="F41" i="12"/>
  <c r="H39" i="8"/>
  <c r="H41" i="8" s="1"/>
  <c r="I38" i="8" s="1"/>
  <c r="H25" i="8"/>
  <c r="H27" i="8" s="1"/>
  <c r="H28" i="8" s="1"/>
  <c r="L24" i="8"/>
  <c r="L20" i="8"/>
  <c r="M17" i="8" s="1"/>
  <c r="G18" i="9"/>
  <c r="G20" i="9" s="1"/>
  <c r="H17" i="9" s="1"/>
  <c r="G24" i="9"/>
  <c r="L8" i="9"/>
  <c r="M4" i="9"/>
  <c r="H7" i="9"/>
  <c r="I12" i="8"/>
  <c r="I9" i="8"/>
  <c r="L20" i="17" l="1"/>
  <c r="L12" i="17"/>
  <c r="J16" i="17"/>
  <c r="J21" i="17" s="1"/>
  <c r="K11" i="17"/>
  <c r="K14" i="17" s="1"/>
  <c r="J15" i="16"/>
  <c r="J20" i="16" s="1"/>
  <c r="J21" i="16" s="1"/>
  <c r="K10" i="16"/>
  <c r="K13" i="16" s="1"/>
  <c r="K17" i="16"/>
  <c r="L19" i="16"/>
  <c r="L11" i="16"/>
  <c r="L17" i="16" s="1"/>
  <c r="L19" i="15"/>
  <c r="L11" i="15"/>
  <c r="L17" i="15" s="1"/>
  <c r="K17" i="15"/>
  <c r="J15" i="15"/>
  <c r="J20" i="15" s="1"/>
  <c r="J21" i="15" s="1"/>
  <c r="K10" i="15"/>
  <c r="K13" i="15" s="1"/>
  <c r="N4" i="12"/>
  <c r="M18" i="12"/>
  <c r="R19" i="12" s="1"/>
  <c r="M7" i="12"/>
  <c r="L20" i="12"/>
  <c r="M17" i="12" s="1"/>
  <c r="L24" i="12"/>
  <c r="G38" i="12"/>
  <c r="F43" i="12"/>
  <c r="H6" i="12"/>
  <c r="G39" i="12"/>
  <c r="G25" i="12"/>
  <c r="G27" i="12" s="1"/>
  <c r="G28" i="12" s="1"/>
  <c r="H43" i="8"/>
  <c r="I39" i="8"/>
  <c r="I41" i="8" s="1"/>
  <c r="J38" i="8" s="1"/>
  <c r="I25" i="8"/>
  <c r="I27" i="8" s="1"/>
  <c r="I28" i="8" s="1"/>
  <c r="M20" i="8"/>
  <c r="N17" i="8" s="1"/>
  <c r="M24" i="8"/>
  <c r="G22" i="9"/>
  <c r="N4" i="9"/>
  <c r="N8" i="9" s="1"/>
  <c r="M8" i="9"/>
  <c r="H10" i="9"/>
  <c r="H14" i="9"/>
  <c r="H25" i="9" s="1"/>
  <c r="J6" i="8"/>
  <c r="L11" i="17" l="1"/>
  <c r="L14" i="17" s="1"/>
  <c r="L16" i="17" s="1"/>
  <c r="L21" i="17" s="1"/>
  <c r="K16" i="17"/>
  <c r="K21" i="17" s="1"/>
  <c r="K15" i="16"/>
  <c r="K20" i="16" s="1"/>
  <c r="K21" i="16" s="1"/>
  <c r="L10" i="16"/>
  <c r="L13" i="16" s="1"/>
  <c r="L15" i="16" s="1"/>
  <c r="L20" i="16" s="1"/>
  <c r="L21" i="16" s="1"/>
  <c r="L10" i="15"/>
  <c r="L13" i="15" s="1"/>
  <c r="L15" i="15" s="1"/>
  <c r="L20" i="15" s="1"/>
  <c r="L21" i="15" s="1"/>
  <c r="K15" i="15"/>
  <c r="K20" i="15" s="1"/>
  <c r="K21" i="15" s="1"/>
  <c r="M20" i="12"/>
  <c r="N17" i="12" s="1"/>
  <c r="M24" i="12"/>
  <c r="N18" i="12"/>
  <c r="N7" i="12"/>
  <c r="O4" i="12"/>
  <c r="H9" i="12"/>
  <c r="H12" i="12"/>
  <c r="G41" i="12"/>
  <c r="I43" i="8"/>
  <c r="N20" i="8"/>
  <c r="O17" i="8" s="1"/>
  <c r="N24" i="8"/>
  <c r="H18" i="9"/>
  <c r="H20" i="9" s="1"/>
  <c r="I17" i="9" s="1"/>
  <c r="H24" i="9"/>
  <c r="I7" i="9"/>
  <c r="J12" i="8"/>
  <c r="J9" i="8"/>
  <c r="P4" i="12" l="1"/>
  <c r="O18" i="12"/>
  <c r="O7" i="12"/>
  <c r="N20" i="12"/>
  <c r="O17" i="12" s="1"/>
  <c r="N24" i="12"/>
  <c r="H38" i="12"/>
  <c r="G43" i="12"/>
  <c r="H39" i="12"/>
  <c r="H25" i="12"/>
  <c r="H27" i="12" s="1"/>
  <c r="H28" i="12" s="1"/>
  <c r="I6" i="12"/>
  <c r="J39" i="8"/>
  <c r="J41" i="8" s="1"/>
  <c r="K38" i="8" s="1"/>
  <c r="J25" i="8"/>
  <c r="J27" i="8" s="1"/>
  <c r="J28" i="8" s="1"/>
  <c r="O20" i="8"/>
  <c r="P17" i="8" s="1"/>
  <c r="O24" i="8"/>
  <c r="H22" i="9"/>
  <c r="I10" i="9"/>
  <c r="I14" i="9"/>
  <c r="I25" i="9" s="1"/>
  <c r="K6" i="8"/>
  <c r="O20" i="12" l="1"/>
  <c r="P17" i="12" s="1"/>
  <c r="O24" i="12"/>
  <c r="P18" i="12"/>
  <c r="P7" i="12"/>
  <c r="Q4" i="12"/>
  <c r="I9" i="12"/>
  <c r="I12" i="12"/>
  <c r="H41" i="12"/>
  <c r="J43" i="8"/>
  <c r="P20" i="8"/>
  <c r="Q17" i="8" s="1"/>
  <c r="P24" i="8"/>
  <c r="I18" i="9"/>
  <c r="I20" i="9" s="1"/>
  <c r="J17" i="9" s="1"/>
  <c r="I24" i="9"/>
  <c r="J7" i="9"/>
  <c r="K9" i="8"/>
  <c r="K12" i="8"/>
  <c r="R4" i="12" l="1"/>
  <c r="Q18" i="12"/>
  <c r="Q7" i="12"/>
  <c r="P24" i="12"/>
  <c r="P20" i="12"/>
  <c r="Q17" i="12" s="1"/>
  <c r="I38" i="12"/>
  <c r="H43" i="12"/>
  <c r="I39" i="12"/>
  <c r="I25" i="12"/>
  <c r="I27" i="12" s="1"/>
  <c r="I28" i="12" s="1"/>
  <c r="J6" i="12"/>
  <c r="K39" i="8"/>
  <c r="K41" i="8" s="1"/>
  <c r="L38" i="8" s="1"/>
  <c r="K25" i="8"/>
  <c r="K27" i="8" s="1"/>
  <c r="K28" i="8" s="1"/>
  <c r="Q20" i="8"/>
  <c r="R17" i="8" s="1"/>
  <c r="Q24" i="8"/>
  <c r="I22" i="9"/>
  <c r="J10" i="9"/>
  <c r="J14" i="9"/>
  <c r="J25" i="9" s="1"/>
  <c r="L6" i="8"/>
  <c r="K43" i="8" l="1"/>
  <c r="Q20" i="12"/>
  <c r="R17" i="12" s="1"/>
  <c r="Q24" i="12"/>
  <c r="R18" i="12"/>
  <c r="R7" i="12"/>
  <c r="J9" i="12"/>
  <c r="J12" i="12"/>
  <c r="I41" i="12"/>
  <c r="R20" i="8"/>
  <c r="R24" i="8"/>
  <c r="J18" i="9"/>
  <c r="J20" i="9" s="1"/>
  <c r="K17" i="9" s="1"/>
  <c r="J24" i="9"/>
  <c r="K7" i="9"/>
  <c r="L9" i="8"/>
  <c r="L12" i="8"/>
  <c r="R20" i="12" l="1"/>
  <c r="R24" i="12"/>
  <c r="J38" i="12"/>
  <c r="I43" i="12"/>
  <c r="J39" i="12"/>
  <c r="J25" i="12"/>
  <c r="J27" i="12" s="1"/>
  <c r="J28" i="12" s="1"/>
  <c r="K6" i="12"/>
  <c r="L39" i="8"/>
  <c r="L41" i="8" s="1"/>
  <c r="M38" i="8" s="1"/>
  <c r="L25" i="8"/>
  <c r="L27" i="8" s="1"/>
  <c r="L28" i="8" s="1"/>
  <c r="J22" i="9"/>
  <c r="K10" i="9"/>
  <c r="K14" i="9"/>
  <c r="K25" i="9" s="1"/>
  <c r="M6" i="8"/>
  <c r="F23" i="7"/>
  <c r="F21" i="7"/>
  <c r="E21" i="7"/>
  <c r="D36" i="7"/>
  <c r="F30" i="7"/>
  <c r="L18" i="7" s="1"/>
  <c r="E30" i="7"/>
  <c r="K18" i="7" s="1"/>
  <c r="D30" i="7"/>
  <c r="J18" i="7" s="1"/>
  <c r="F29" i="7"/>
  <c r="E29" i="7"/>
  <c r="D29" i="7"/>
  <c r="E22" i="7"/>
  <c r="D22" i="7"/>
  <c r="L25" i="7"/>
  <c r="K25" i="7"/>
  <c r="J25" i="7"/>
  <c r="C17" i="7"/>
  <c r="K2" i="7"/>
  <c r="D23" i="7" s="1"/>
  <c r="J29" i="7" s="1"/>
  <c r="D14" i="7"/>
  <c r="E14" i="7" s="1"/>
  <c r="D9" i="7"/>
  <c r="F22" i="7"/>
  <c r="L12" i="7" l="1"/>
  <c r="L29" i="7"/>
  <c r="F14" i="7"/>
  <c r="F24" i="7"/>
  <c r="L28" i="7" s="1"/>
  <c r="L30" i="7" s="1"/>
  <c r="E23" i="7"/>
  <c r="J12" i="7"/>
  <c r="D15" i="7"/>
  <c r="D16" i="7" s="1"/>
  <c r="E2" i="7"/>
  <c r="E9" i="7" s="1"/>
  <c r="E13" i="7" s="1"/>
  <c r="D13" i="7"/>
  <c r="K9" i="12"/>
  <c r="K12" i="12"/>
  <c r="J41" i="12"/>
  <c r="L43" i="8"/>
  <c r="K18" i="9"/>
  <c r="K20" i="9" s="1"/>
  <c r="L17" i="9" s="1"/>
  <c r="K24" i="9"/>
  <c r="L7" i="9"/>
  <c r="M9" i="8"/>
  <c r="M12" i="8"/>
  <c r="F2" i="7"/>
  <c r="F9" i="7" s="1"/>
  <c r="F13" i="7" s="1"/>
  <c r="D24" i="7"/>
  <c r="J28" i="7" s="1"/>
  <c r="J30" i="7" s="1"/>
  <c r="D10" i="7"/>
  <c r="D28" i="7"/>
  <c r="L17" i="7" l="1"/>
  <c r="D17" i="7"/>
  <c r="E24" i="7"/>
  <c r="K29" i="7"/>
  <c r="E10" i="7"/>
  <c r="J13" i="7"/>
  <c r="K11" i="7" s="1"/>
  <c r="K13" i="7" s="1"/>
  <c r="L11" i="7" s="1"/>
  <c r="L13" i="7" s="1"/>
  <c r="J17" i="7"/>
  <c r="E15" i="7"/>
  <c r="E16" i="7" s="1"/>
  <c r="K12" i="7"/>
  <c r="K38" i="12"/>
  <c r="J43" i="12"/>
  <c r="K39" i="12"/>
  <c r="K25" i="12"/>
  <c r="K27" i="12" s="1"/>
  <c r="K28" i="12" s="1"/>
  <c r="L6" i="12"/>
  <c r="M39" i="8"/>
  <c r="M41" i="8" s="1"/>
  <c r="N38" i="8" s="1"/>
  <c r="M25" i="8"/>
  <c r="M27" i="8" s="1"/>
  <c r="M28" i="8" s="1"/>
  <c r="K22" i="9"/>
  <c r="L10" i="9"/>
  <c r="L14" i="9"/>
  <c r="L25" i="9" s="1"/>
  <c r="N6" i="8"/>
  <c r="F27" i="7"/>
  <c r="D27" i="7"/>
  <c r="D31" i="7" s="1"/>
  <c r="E28" i="7"/>
  <c r="F10" i="7"/>
  <c r="K17" i="7" l="1"/>
  <c r="K28" i="7"/>
  <c r="K30" i="7" s="1"/>
  <c r="E27" i="7"/>
  <c r="E31" i="7" s="1"/>
  <c r="J19" i="7"/>
  <c r="D18" i="7" s="1"/>
  <c r="D35" i="7" s="1"/>
  <c r="D37" i="7" s="1"/>
  <c r="F15" i="7"/>
  <c r="E17" i="7"/>
  <c r="K41" i="12"/>
  <c r="L9" i="12"/>
  <c r="L12" i="12"/>
  <c r="M43" i="8"/>
  <c r="L18" i="9"/>
  <c r="L20" i="9" s="1"/>
  <c r="M17" i="9" s="1"/>
  <c r="L24" i="9"/>
  <c r="M7" i="9"/>
  <c r="N9" i="8"/>
  <c r="O6" i="8" s="1"/>
  <c r="N12" i="8"/>
  <c r="F28" i="7"/>
  <c r="K16" i="7" l="1"/>
  <c r="K19" i="7" s="1"/>
  <c r="F16" i="7"/>
  <c r="F17" i="7"/>
  <c r="L38" i="12"/>
  <c r="K43" i="12"/>
  <c r="L39" i="12"/>
  <c r="L25" i="12"/>
  <c r="L27" i="12" s="1"/>
  <c r="L28" i="12" s="1"/>
  <c r="M6" i="12"/>
  <c r="N39" i="8"/>
  <c r="N41" i="8" s="1"/>
  <c r="O38" i="8" s="1"/>
  <c r="N25" i="8"/>
  <c r="N27" i="8" s="1"/>
  <c r="N28" i="8" s="1"/>
  <c r="O9" i="8"/>
  <c r="O12" i="8"/>
  <c r="L22" i="9"/>
  <c r="M10" i="9"/>
  <c r="M14" i="9"/>
  <c r="M25" i="9" s="1"/>
  <c r="F31" i="7"/>
  <c r="L16" i="7" l="1"/>
  <c r="L19" i="7" s="1"/>
  <c r="F18" i="7" s="1"/>
  <c r="E18" i="7"/>
  <c r="L41" i="12"/>
  <c r="M38" i="12" s="1"/>
  <c r="M9" i="12"/>
  <c r="M12" i="12"/>
  <c r="N43" i="8"/>
  <c r="O39" i="8"/>
  <c r="O41" i="8" s="1"/>
  <c r="P38" i="8" s="1"/>
  <c r="O25" i="8"/>
  <c r="O27" i="8" s="1"/>
  <c r="O28" i="8" s="1"/>
  <c r="P6" i="8"/>
  <c r="M18" i="9"/>
  <c r="M20" i="9" s="1"/>
  <c r="N17" i="9" s="1"/>
  <c r="M24" i="9"/>
  <c r="N7" i="9"/>
  <c r="L43" i="12" l="1"/>
  <c r="M39" i="12"/>
  <c r="M41" i="12" s="1"/>
  <c r="N38" i="12" s="1"/>
  <c r="M25" i="12"/>
  <c r="M27" i="12" s="1"/>
  <c r="M28" i="12" s="1"/>
  <c r="N6" i="12"/>
  <c r="O43" i="8"/>
  <c r="P9" i="8"/>
  <c r="P12" i="8"/>
  <c r="M22" i="9"/>
  <c r="N10" i="9"/>
  <c r="N14" i="9"/>
  <c r="N25" i="9" s="1"/>
  <c r="M43" i="12" l="1"/>
  <c r="N9" i="12"/>
  <c r="N12" i="12"/>
  <c r="P39" i="8"/>
  <c r="P41" i="8" s="1"/>
  <c r="Q38" i="8" s="1"/>
  <c r="P25" i="8"/>
  <c r="P27" i="8" s="1"/>
  <c r="P28" i="8" s="1"/>
  <c r="Q6" i="8"/>
  <c r="N18" i="9"/>
  <c r="N20" i="9" s="1"/>
  <c r="N22" i="9" s="1"/>
  <c r="N24" i="9"/>
  <c r="N39" i="12" l="1"/>
  <c r="N41" i="12" s="1"/>
  <c r="O38" i="12" s="1"/>
  <c r="N25" i="12"/>
  <c r="N27" i="12" s="1"/>
  <c r="N28" i="12" s="1"/>
  <c r="O6" i="12"/>
  <c r="P43" i="8"/>
  <c r="Q9" i="8"/>
  <c r="Q12" i="8"/>
  <c r="O9" i="12" l="1"/>
  <c r="O12" i="12"/>
  <c r="N43" i="12"/>
  <c r="Q39" i="8"/>
  <c r="Q41" i="8" s="1"/>
  <c r="R38" i="8" s="1"/>
  <c r="Q25" i="8"/>
  <c r="Q27" i="8" s="1"/>
  <c r="Q28" i="8" s="1"/>
  <c r="R6" i="8"/>
  <c r="O39" i="12" l="1"/>
  <c r="O41" i="12" s="1"/>
  <c r="P38" i="12" s="1"/>
  <c r="O25" i="12"/>
  <c r="O27" i="12" s="1"/>
  <c r="O28" i="12" s="1"/>
  <c r="P6" i="12"/>
  <c r="Q43" i="8"/>
  <c r="R9" i="8"/>
  <c r="R12" i="8"/>
  <c r="P9" i="12" l="1"/>
  <c r="P12" i="12"/>
  <c r="O43" i="12"/>
  <c r="R39" i="8"/>
  <c r="R41" i="8" s="1"/>
  <c r="R43" i="8" s="1"/>
  <c r="R25" i="8"/>
  <c r="R27" i="8" s="1"/>
  <c r="R28" i="8" s="1"/>
  <c r="P39" i="12" l="1"/>
  <c r="P41" i="12" s="1"/>
  <c r="Q38" i="12" s="1"/>
  <c r="P25" i="12"/>
  <c r="P27" i="12" s="1"/>
  <c r="P28" i="12" s="1"/>
  <c r="Q6" i="12"/>
  <c r="Q9" i="12" l="1"/>
  <c r="Q12" i="12"/>
  <c r="P43" i="12"/>
  <c r="Q39" i="12" l="1"/>
  <c r="Q41" i="12" s="1"/>
  <c r="R38" i="12" s="1"/>
  <c r="Q25" i="12"/>
  <c r="Q27" i="12" s="1"/>
  <c r="Q28" i="12" s="1"/>
  <c r="R6" i="12"/>
  <c r="Q43" i="12" l="1"/>
  <c r="R9" i="12"/>
  <c r="R12" i="12"/>
  <c r="R39" i="12" l="1"/>
  <c r="R41" i="12" s="1"/>
  <c r="R43" i="12" s="1"/>
  <c r="R25" i="12"/>
  <c r="R27" i="12" s="1"/>
  <c r="R28" i="12" s="1"/>
  <c r="F10" i="3" l="1"/>
  <c r="E10" i="3"/>
  <c r="E9" i="3"/>
  <c r="F9" i="3"/>
  <c r="D9" i="3"/>
  <c r="K25" i="1"/>
  <c r="K31" i="1" s="1"/>
  <c r="L25" i="1"/>
  <c r="L31" i="1" s="1"/>
  <c r="J25" i="1"/>
  <c r="J31" i="1" s="1"/>
  <c r="F29" i="1"/>
  <c r="E29" i="1"/>
  <c r="D14" i="1"/>
  <c r="E14" i="1" s="1"/>
  <c r="F14" i="1" s="1"/>
  <c r="F30" i="1"/>
  <c r="L18" i="1" s="1"/>
  <c r="D35" i="2"/>
  <c r="E30" i="2"/>
  <c r="D30" i="2"/>
  <c r="D29" i="2"/>
  <c r="D22" i="2"/>
  <c r="C17" i="2"/>
  <c r="M15" i="2"/>
  <c r="D15" i="2" s="1"/>
  <c r="D9" i="2"/>
  <c r="D13" i="2" s="1"/>
  <c r="E5" i="2"/>
  <c r="E22" i="2" s="1"/>
  <c r="E4" i="2"/>
  <c r="D15" i="1"/>
  <c r="N15" i="1"/>
  <c r="D28" i="1" s="1"/>
  <c r="J23" i="1"/>
  <c r="J22" i="1"/>
  <c r="D29" i="1"/>
  <c r="E30" i="1"/>
  <c r="K18" i="1" s="1"/>
  <c r="E5" i="1"/>
  <c r="E22" i="1" s="1"/>
  <c r="E4" i="1"/>
  <c r="K22" i="1" s="1"/>
  <c r="C17" i="1"/>
  <c r="D30" i="1"/>
  <c r="J18" i="1" s="1"/>
  <c r="D9" i="1"/>
  <c r="D35" i="1"/>
  <c r="D34" i="1"/>
  <c r="D22" i="1"/>
  <c r="E2" i="2" l="1"/>
  <c r="F5" i="1"/>
  <c r="F22" i="1" s="1"/>
  <c r="J24" i="1"/>
  <c r="D28" i="2"/>
  <c r="F4" i="1"/>
  <c r="L22" i="1" s="1"/>
  <c r="L23" i="1"/>
  <c r="D23" i="2"/>
  <c r="E15" i="2"/>
  <c r="E16" i="2" s="1"/>
  <c r="D16" i="2"/>
  <c r="D17" i="2" s="1"/>
  <c r="D18" i="2" s="1"/>
  <c r="D34" i="2" s="1"/>
  <c r="D36" i="2" s="1"/>
  <c r="E2" i="1"/>
  <c r="E9" i="1" s="1"/>
  <c r="D13" i="1"/>
  <c r="D17" i="1" s="1"/>
  <c r="E9" i="2"/>
  <c r="E13" i="2" s="1"/>
  <c r="K23" i="1"/>
  <c r="K24" i="1" s="1"/>
  <c r="D10" i="2"/>
  <c r="D24" i="2"/>
  <c r="E15" i="1"/>
  <c r="D16" i="1"/>
  <c r="D23" i="1"/>
  <c r="E28" i="1"/>
  <c r="D10" i="1"/>
  <c r="D36" i="1"/>
  <c r="E23" i="2" l="1"/>
  <c r="D24" i="1"/>
  <c r="D27" i="1" s="1"/>
  <c r="D31" i="1" s="1"/>
  <c r="J12" i="1"/>
  <c r="J13" i="1" s="1"/>
  <c r="K11" i="1" s="1"/>
  <c r="E10" i="2"/>
  <c r="E17" i="2"/>
  <c r="E18" i="2" s="1"/>
  <c r="J17" i="1"/>
  <c r="J19" i="1" s="1"/>
  <c r="K16" i="1" s="1"/>
  <c r="J28" i="1"/>
  <c r="E23" i="1"/>
  <c r="J29" i="1"/>
  <c r="F23" i="1"/>
  <c r="F2" i="1"/>
  <c r="F9" i="1" s="1"/>
  <c r="E13" i="1"/>
  <c r="E28" i="2"/>
  <c r="D27" i="2"/>
  <c r="D31" i="2" s="1"/>
  <c r="L24" i="1"/>
  <c r="E16" i="1"/>
  <c r="F15" i="1"/>
  <c r="E17" i="1"/>
  <c r="E18" i="1" s="1"/>
  <c r="F24" i="1"/>
  <c r="F28" i="1"/>
  <c r="E24" i="1"/>
  <c r="E10" i="1"/>
  <c r="L29" i="1" l="1"/>
  <c r="L12" i="1"/>
  <c r="K29" i="1"/>
  <c r="K12" i="1"/>
  <c r="K13" i="1" s="1"/>
  <c r="L11" i="1" s="1"/>
  <c r="L13" i="1" s="1"/>
  <c r="E24" i="2"/>
  <c r="F27" i="1"/>
  <c r="F31" i="1" s="1"/>
  <c r="L17" i="1"/>
  <c r="L28" i="1"/>
  <c r="L30" i="1" s="1"/>
  <c r="F10" i="1"/>
  <c r="F13" i="1"/>
  <c r="K19" i="1"/>
  <c r="L16" i="1" s="1"/>
  <c r="L19" i="1" s="1"/>
  <c r="E27" i="1"/>
  <c r="E31" i="1" s="1"/>
  <c r="K17" i="1"/>
  <c r="K28" i="1"/>
  <c r="K30" i="1" s="1"/>
  <c r="F17" i="1"/>
  <c r="F18" i="1" s="1"/>
  <c r="F16" i="1"/>
  <c r="J30" i="1"/>
  <c r="E27" i="2" l="1"/>
  <c r="E31" i="2" s="1"/>
  <c r="I25" i="27" l="1"/>
  <c r="J22" i="27" s="1"/>
  <c r="J25" i="27" s="1"/>
  <c r="C18" i="27"/>
  <c r="I19" i="27"/>
  <c r="J16" i="27" s="1"/>
  <c r="J19" i="27" s="1"/>
  <c r="D19" i="27" l="1"/>
  <c r="K22" i="27"/>
  <c r="K25" i="27" s="1"/>
  <c r="K16" i="27"/>
  <c r="K19" i="27" s="1"/>
  <c r="D18" i="27"/>
  <c r="C19" i="27"/>
  <c r="E18" i="27" l="1"/>
  <c r="L16" i="27"/>
  <c r="L19" i="27" s="1"/>
  <c r="L22" i="27"/>
  <c r="L25" i="27" s="1"/>
  <c r="F19" i="27" s="1"/>
  <c r="E19" i="27"/>
  <c r="F18" i="27" l="1"/>
</calcChain>
</file>

<file path=xl/sharedStrings.xml><?xml version="1.0" encoding="utf-8"?>
<sst xmlns="http://schemas.openxmlformats.org/spreadsheetml/2006/main" count="2014" uniqueCount="582">
  <si>
    <t>Cash from Sales of Food</t>
  </si>
  <si>
    <t>Cost of Buying Food</t>
  </si>
  <si>
    <t>Cash Balance at Start of Period</t>
  </si>
  <si>
    <t>Cash Balance at End of Period</t>
  </si>
  <si>
    <t>Balance Sheet</t>
  </si>
  <si>
    <t>Assets: Cash</t>
  </si>
  <si>
    <t>Equity</t>
  </si>
  <si>
    <t>Income Statement</t>
  </si>
  <si>
    <t>Revenues</t>
  </si>
  <si>
    <t>Less: Cost</t>
  </si>
  <si>
    <t>Profit</t>
  </si>
  <si>
    <t>Assets at End</t>
  </si>
  <si>
    <t>Less: Assets at Start</t>
  </si>
  <si>
    <t>Dividend taken out of business</t>
  </si>
  <si>
    <t>Cash Flow Statement</t>
  </si>
  <si>
    <t>Cash Flow from Profit</t>
  </si>
  <si>
    <t>Less: Dividend</t>
  </si>
  <si>
    <t>Net Cash Flow</t>
  </si>
  <si>
    <t>Cost of Buying Pot</t>
  </si>
  <si>
    <t xml:space="preserve">Buy at beginning of </t>
  </si>
  <si>
    <t>the year</t>
  </si>
  <si>
    <t>Total</t>
  </si>
  <si>
    <t>Yr 1</t>
  </si>
  <si>
    <t>Yr 2</t>
  </si>
  <si>
    <t>Less: Depreciation</t>
  </si>
  <si>
    <t>Pot will last 4 yrs</t>
  </si>
  <si>
    <t>Add: Depreciation</t>
  </si>
  <si>
    <t>Less: Capital Expenditure</t>
  </si>
  <si>
    <t>Difference</t>
  </si>
  <si>
    <t>Yr End 0</t>
  </si>
  <si>
    <t>Yr End 1</t>
  </si>
  <si>
    <t>Yr End 2</t>
  </si>
  <si>
    <t>EBITDA: Direct Method</t>
  </si>
  <si>
    <t>Less: Cash Cost</t>
  </si>
  <si>
    <t>EBITDA</t>
  </si>
  <si>
    <t>Earnings</t>
  </si>
  <si>
    <t>Depreciation</t>
  </si>
  <si>
    <t>Divided by 4</t>
  </si>
  <si>
    <t>EBD</t>
  </si>
  <si>
    <t>EBITDA: Indirect Method</t>
  </si>
  <si>
    <t>Gross Assets</t>
  </si>
  <si>
    <t>Accum Depreciation</t>
  </si>
  <si>
    <t>Less: Cap Exp</t>
  </si>
  <si>
    <t>Financial Securities in Won</t>
  </si>
  <si>
    <t>Financial Securities in Euro</t>
  </si>
  <si>
    <t>Before Translation</t>
  </si>
  <si>
    <t>Exchange Rate</t>
  </si>
  <si>
    <t>Assets</t>
  </si>
  <si>
    <t>Current assets</t>
  </si>
  <si>
    <t>financial assets</t>
  </si>
  <si>
    <t>Advances</t>
  </si>
  <si>
    <t>Inventories</t>
  </si>
  <si>
    <t>Cash and cash equivalents</t>
  </si>
  <si>
    <t>Short term financial instruments</t>
  </si>
  <si>
    <t>Trade receivables</t>
  </si>
  <si>
    <t>Non trade receivables</t>
  </si>
  <si>
    <t>Prepaid expenses</t>
  </si>
  <si>
    <t>Other current assets</t>
  </si>
  <si>
    <t>Assets held for sale</t>
  </si>
  <si>
    <t>Total current assets</t>
  </si>
  <si>
    <t>Non current assets</t>
  </si>
  <si>
    <t>Long term available for sale</t>
  </si>
  <si>
    <t>Property plant and equipment</t>
  </si>
  <si>
    <t>Intangible assets</t>
  </si>
  <si>
    <t>Long term prepaid expenses</t>
  </si>
  <si>
    <t>Deferred income tax assets</t>
  </si>
  <si>
    <t>Other non current assets</t>
  </si>
  <si>
    <t>Total assets</t>
  </si>
  <si>
    <t>Short term available for sale financial assets</t>
  </si>
  <si>
    <t>Investment in associates and joint ventures</t>
  </si>
  <si>
    <t>Operation</t>
  </si>
  <si>
    <t>Cash and</t>
  </si>
  <si>
    <t>Financing</t>
  </si>
  <si>
    <t>Operating Income</t>
  </si>
  <si>
    <t>Net Income on Financial Statement</t>
  </si>
  <si>
    <t>Other Comprehensive Income</t>
  </si>
  <si>
    <t>Accumulated Other Comprehensive Income</t>
  </si>
  <si>
    <t>Opening Balance</t>
  </si>
  <si>
    <t>Add Income</t>
  </si>
  <si>
    <t>Closing Balance</t>
  </si>
  <si>
    <t>Increase (Decrease) in Value from Currency</t>
  </si>
  <si>
    <t>Capital Expenditures</t>
  </si>
  <si>
    <t>Asset Life</t>
  </si>
  <si>
    <t>Plant Balance</t>
  </si>
  <si>
    <t>Add: Capital Expenditures</t>
  </si>
  <si>
    <t>Less Retirements</t>
  </si>
  <si>
    <t>Depreciation Rate</t>
  </si>
  <si>
    <t>Depreciation Expense</t>
  </si>
  <si>
    <t>Accumulated Depreciation</t>
  </si>
  <si>
    <t>Add: Depreciation Expense</t>
  </si>
  <si>
    <t>Less: Retirements</t>
  </si>
  <si>
    <t>Net Plant</t>
  </si>
  <si>
    <t>Depreciation to Cap Exp</t>
  </si>
  <si>
    <t>Cap Exp to Depreciation</t>
  </si>
  <si>
    <t>Cash flows from operating activities</t>
  </si>
  <si>
    <t>Net income G 10,229,921 G G 5,890,214 $ 8,765,999 $ 5,047,313</t>
  </si>
  <si>
    <t>Adjustments to reconcile net income to net cash</t>
  </si>
  <si>
    <t>provided by operating activities :</t>
  </si>
  <si>
    <t>Depreciation and amortization 11,159,446 10,095,191 9,562,507 8,650,549</t>
  </si>
  <si>
    <t>Provision for severance benefits 645,440 543,980 553,076 466,135</t>
  </si>
  <si>
    <t>Bad debt expenses 337,075 532,429 288,839 456,237</t>
  </si>
  <si>
    <t>Loss on disposal of property, plant and</t>
  </si>
  <si>
    <t>equipment 120,676 62,292 103,407 53,378</t>
  </si>
  <si>
    <t>Gain on disposal of property, plant and</t>
  </si>
  <si>
    <t>equipment (66,636) (110,962) (57,100) (95,083)</t>
  </si>
  <si>
    <t>Loss on foreign currency translation 1,059,493 1,070,358 907,877 917,188</t>
  </si>
  <si>
    <t>Gain on foreign currency translation (1,347,894) (447,885) (1,155,008) (383,792)</t>
  </si>
  <si>
    <t>Loss on valuation of equity-method</t>
  </si>
  <si>
    <t>investments 121,702 209,357 104,286 179,398</t>
  </si>
  <si>
    <t>Gain on valuation of equity-method</t>
  </si>
  <si>
    <t>investments (943,339) (748,398) (808,345) (641,301)</t>
  </si>
  <si>
    <t>Deferred income taxes (13,633) (500,435) (11,682) (428,822)</t>
  </si>
  <si>
    <t>Others 1,385,560 1,289,732 1,187,284 1,105,169</t>
  </si>
  <si>
    <t>22,687,811 17,885,873 19,441,140 15,326,369</t>
  </si>
  <si>
    <t>Changes in operating assets and liabilities</t>
  </si>
  <si>
    <t>Increase in trade accounts and notes</t>
  </si>
  <si>
    <t>receivable (6,227,873) (86,180) (5,336,652) (73,847)</t>
  </si>
  <si>
    <t>Increase in inventories (1,092,243) (693,712) (935,941) (594,440)</t>
  </si>
  <si>
    <t>Decrease (increase) in financing receivables 915,952 (1,313,573) 784,877 (1,125,598)</t>
  </si>
  <si>
    <t>Increase (decrease) in trade accounts and</t>
  </si>
  <si>
    <t>notes payable 3,474,003 (1,514,400) 2,976,866 (1,297,686)</t>
  </si>
  <si>
    <t>Increase (decrease) in accrued expenses 1,051,084 (207,881) 900,672 (178,133)</t>
  </si>
  <si>
    <t>Increase (decrease) in income taxes payable 499,800 (751,619) 428,278 (644,061)</t>
  </si>
  <si>
    <t>Payment of severance benefits (520,020) (301,887) (445,604) (258,686)</t>
  </si>
  <si>
    <t>Increase in long-term accrued expenses 519,200 408,324 444,901 349,892</t>
  </si>
  <si>
    <t>Others (1,651,924) (64,870) (1,415,529) (55,588)</t>
  </si>
  <si>
    <t>Net cash provided by operating activities 19,655,790 13,360,075 16,843,008 11,448,222</t>
  </si>
  <si>
    <t>Cash flows from investing activities</t>
  </si>
  <si>
    <t>(Increase) decrease in short-term financial</t>
  </si>
  <si>
    <t>instruments (5,057,503) 1,445,781 (4,333,764) 1,238,887</t>
  </si>
  <si>
    <t>Proceeds from sale of short-term availablefor-sale</t>
  </si>
  <si>
    <t>securities 2,673,309 3,576,436 2,290,753 3,064,641</t>
  </si>
  <si>
    <t>Acquisition of short-term available-for-sale</t>
  </si>
  <si>
    <t>securities (3,774,993) (3,580,000) (3,234,784) (3,067,695)</t>
  </si>
  <si>
    <t>Samsung Electronics Co., Ltd. and Subsidiaries</t>
  </si>
  <si>
    <t>Consolidated Statements of Cash Flows</t>
  </si>
  <si>
    <t>For the years ended December 31, 2009 and 2008</t>
  </si>
  <si>
    <t>(In millions of Korean won and in thousands of U.S. dollars (Note 3))</t>
  </si>
  <si>
    <t>2009 2008 2009 2008</t>
  </si>
  <si>
    <t>Decrease (increase) in deposits and loans G G GG G 68,108  (506,178) $ 58,362 $ (433,743)</t>
  </si>
  <si>
    <t>Proceeds from disposal of property, plant and</t>
  </si>
  <si>
    <t>equipment 112,379 295,287 96,297 253,031</t>
  </si>
  <si>
    <t>Acquisition of property, plant and equipment (8,182,197) (14,088,184) (7,011,308) (12,072,137)</t>
  </si>
  <si>
    <t>Proceeds from sale of long-term availablefor-sale</t>
  </si>
  <si>
    <t>securities 114,961 188,332 98,510 161,381</t>
  </si>
  <si>
    <t>Proceeds from sale of long-term held-tomaturity</t>
  </si>
  <si>
    <t>securities 28,901 31,234 24,765 26,764</t>
  </si>
  <si>
    <t>Proceeds from sale of equity-method</t>
  </si>
  <si>
    <t>investments 44,832 16,682 38,416 14,295</t>
  </si>
  <si>
    <t>Acquisition of long-term available-for-sale</t>
  </si>
  <si>
    <t>securities (69,804) (12,602) (59,815) (10,799)</t>
  </si>
  <si>
    <t>Acquisition of equity-method investments (261,539) - (224,112) -</t>
  </si>
  <si>
    <t>Others (120,555) (495,212) (103,304) (424,346)</t>
  </si>
  <si>
    <t>Net cash used in investing activities (14,424,101) (13,128,424) (12,359,984) (11,249,721)</t>
  </si>
  <si>
    <t>Cash flows from financing activities</t>
  </si>
  <si>
    <t>Payment of dividends (871,173) (1,315,486) (746,506) (1,127,237)</t>
  </si>
  <si>
    <t>Net (decrease) increase in short-term</t>
  </si>
  <si>
    <t>borrowings (976,336) 668,383 (836,620) 572,736</t>
  </si>
  <si>
    <t>Repayment of current maturities of long-term</t>
  </si>
  <si>
    <t>debts (2,367,129) (1,826,860) (2,028,388) (1,565,433)</t>
  </si>
  <si>
    <t>Repayment of long-term debts (675,677) (415,275) (578,986) (355,848)</t>
  </si>
  <si>
    <t>Proceeds from long-term debts 940,960 4,346,404 806,307 3,724,425</t>
  </si>
  <si>
    <t>Others 1,016 477,055 869 408,787</t>
  </si>
  <si>
    <t>Net cash (used in)provided by financing</t>
  </si>
  <si>
    <t>activities (3,948,339) 1,934,221 (3,383,324) 1,657,430</t>
  </si>
  <si>
    <t>Effect of exchange rate changes on cash and</t>
  </si>
  <si>
    <t>cash equivalents 440,958 813,514 377,856 697,099</t>
  </si>
  <si>
    <t>Net increase in cash and cash equivalents from</t>
  </si>
  <si>
    <t>changes in consolidated subsidiaries 296,947 3,263 254,453 2,796</t>
  </si>
  <si>
    <t>Net increase in cash and cash equivalents 2,021,255 2,982,649 1,732,009 2,555,826</t>
  </si>
  <si>
    <t>Beginning of year 8,814,638 5,831,989 7,553,246 4,997,420</t>
  </si>
  <si>
    <t>End of the year G 10,835,893 G G 8,814,638 $ 9,285,255 $ 7,553,246</t>
  </si>
  <si>
    <t>Others</t>
  </si>
  <si>
    <t>Net income G G G</t>
  </si>
  <si>
    <t>Depreciation and amortization</t>
  </si>
  <si>
    <t>Provision for severance benefits</t>
  </si>
  <si>
    <t>Bad debt expenses</t>
  </si>
  <si>
    <t>Loss on foreign currency translation</t>
  </si>
  <si>
    <t>Gain on foreign currency translation</t>
  </si>
  <si>
    <t>Deferred income taxes</t>
  </si>
  <si>
    <t>Increase in inventories</t>
  </si>
  <si>
    <t>Decrease increase in financing receivables</t>
  </si>
  <si>
    <t>Increase decrease in accrued expenses</t>
  </si>
  <si>
    <t>Increase decrease in income taxes payable</t>
  </si>
  <si>
    <t>Payment of severance benefits</t>
  </si>
  <si>
    <t>Increase in long term accrued expenses</t>
  </si>
  <si>
    <t>Net cash provided by operating activities</t>
  </si>
  <si>
    <t>Acquisition of property plant and equipment</t>
  </si>
  <si>
    <t>Acquisition of equity method investments</t>
  </si>
  <si>
    <t>Net cash used in investing activities</t>
  </si>
  <si>
    <t>Repayment of long term debts</t>
  </si>
  <si>
    <t>Proceeds from long term debts</t>
  </si>
  <si>
    <t>Net increase in cash and cash equivalents</t>
  </si>
  <si>
    <t>End of the year G G G</t>
  </si>
  <si>
    <t>Loss on disposal of property plant and equipment</t>
  </si>
  <si>
    <t>Gain on disposal of property plant and equipment</t>
  </si>
  <si>
    <t>Loss on valuation of equity method investments</t>
  </si>
  <si>
    <t>Gain on valuation of equity method investments</t>
  </si>
  <si>
    <t>Increase in trade accounts and receivable</t>
  </si>
  <si>
    <t>Increase decrease in trade accounts and payable</t>
  </si>
  <si>
    <t>Increase decrease in short term financial instruments</t>
  </si>
  <si>
    <t>Proceeds from sale of short term availablefor sale securities</t>
  </si>
  <si>
    <t>Acquisition of short term available for sale securities</t>
  </si>
  <si>
    <t>Proceeds from disposal of property plant and equipment</t>
  </si>
  <si>
    <t>Proceeds from sale of long term availablefor sale securities</t>
  </si>
  <si>
    <t>Proceeds from sale of long term held tomaturity securities</t>
  </si>
  <si>
    <t>Proceeds from sale of equity method investments</t>
  </si>
  <si>
    <t>Acquisition of long term available for sale securities</t>
  </si>
  <si>
    <t>Cash flows from financing activities Payment of dividends</t>
  </si>
  <si>
    <t>Net decrease increase in short term borrowings</t>
  </si>
  <si>
    <t>Repayment of current maturities of long term debts</t>
  </si>
  <si>
    <t>Net cash used inprovided by financing activities</t>
  </si>
  <si>
    <t>Effect of exchange rate changes on cash and cash equivalents</t>
  </si>
  <si>
    <t>Net increase in cash and cash equivalents from changes in consolidated subsidiaries</t>
  </si>
  <si>
    <t>Cash and cash equivalents Beginning of year</t>
  </si>
  <si>
    <t>Others a</t>
  </si>
  <si>
    <t>Others a a</t>
  </si>
  <si>
    <t>Others a a a</t>
  </si>
  <si>
    <t xml:space="preserve">Decrease increase in deposits and loans </t>
  </si>
  <si>
    <t>EBITDA Related</t>
  </si>
  <si>
    <t>Tax Asset Life</t>
  </si>
  <si>
    <t>Tax Depreciation</t>
  </si>
  <si>
    <t>Tax - Book</t>
  </si>
  <si>
    <t>Tax Rate</t>
  </si>
  <si>
    <t>Def Tax</t>
  </si>
  <si>
    <t>Accumulated Def Tax Liability</t>
  </si>
  <si>
    <t>Oil Price</t>
  </si>
  <si>
    <t>BBLS</t>
  </si>
  <si>
    <t>Forward Contract to Sell</t>
  </si>
  <si>
    <t>Agree to Sell at</t>
  </si>
  <si>
    <t>Proceeds for Settlement</t>
  </si>
  <si>
    <t>Value of Oil</t>
  </si>
  <si>
    <t>Settlement of Contract</t>
  </si>
  <si>
    <t>Value of Contract</t>
  </si>
  <si>
    <t>Sell Price</t>
  </si>
  <si>
    <t>Contract Price</t>
  </si>
  <si>
    <t>Increase in Value of Contract</t>
  </si>
  <si>
    <t>Hedge Accounting</t>
  </si>
  <si>
    <t>Non Hedge Account</t>
  </si>
  <si>
    <t>Income in Net Income</t>
  </si>
  <si>
    <t>Days A/R</t>
  </si>
  <si>
    <t>Percent of Year</t>
  </si>
  <si>
    <t>A/R Opening Balance</t>
  </si>
  <si>
    <t>Add: Revenues not Collected</t>
  </si>
  <si>
    <t>Less: Revenues Collected in Prior Period</t>
  </si>
  <si>
    <t>A/R Closing Balance</t>
  </si>
  <si>
    <t>Increase in A/R</t>
  </si>
  <si>
    <t xml:space="preserve">Cash Flow </t>
  </si>
  <si>
    <t>Alternative Calculation</t>
  </si>
  <si>
    <t>Less: Change in A/R</t>
  </si>
  <si>
    <t>Cash Flow</t>
  </si>
  <si>
    <t>Expenses</t>
  </si>
  <si>
    <t>Days A/P</t>
  </si>
  <si>
    <t>A/P Opening Balance</t>
  </si>
  <si>
    <t>A/P Closing Balance</t>
  </si>
  <si>
    <t>Increase in A/P</t>
  </si>
  <si>
    <t>Add: Expenses not Paid</t>
  </si>
  <si>
    <t>Less: Expenses from Prior Period</t>
  </si>
  <si>
    <t>Add: Change in A/P</t>
  </si>
  <si>
    <t>Net Fixed Assets</t>
  </si>
  <si>
    <t>Equity Balance</t>
  </si>
  <si>
    <t>Add: Income</t>
  </si>
  <si>
    <t>Less: Dividends</t>
  </si>
  <si>
    <t>Assets: Cash/Borrowing</t>
  </si>
  <si>
    <t>Floating to Fixed</t>
  </si>
  <si>
    <t>Notional Amount of Swap</t>
  </si>
  <si>
    <t>Fixed Rate in Swap</t>
  </si>
  <si>
    <t>Floating Rate</t>
  </si>
  <si>
    <t>Floating Rate Payment on Debt</t>
  </si>
  <si>
    <t>Gain on Swap Settlement</t>
  </si>
  <si>
    <t>Net Interest Paid</t>
  </si>
  <si>
    <t>Actual Floating Rate</t>
  </si>
  <si>
    <t>Scenario</t>
  </si>
  <si>
    <t>Floating = Fixed</t>
  </si>
  <si>
    <t>Floating &lt; Fixed</t>
  </si>
  <si>
    <t>Floating&gt; Fixed</t>
  </si>
  <si>
    <t>Accounting</t>
  </si>
  <si>
    <t>Interest Expense</t>
  </si>
  <si>
    <t>Gain/(Loss) on FV of Hedge</t>
  </si>
  <si>
    <t>Fixed Rate on Bonds</t>
  </si>
  <si>
    <t>Receive Fixed Rate on Swap</t>
  </si>
  <si>
    <t>Pay Floating Rate on Swap</t>
  </si>
  <si>
    <t>Settlement of Swap- Gain (Loss)</t>
  </si>
  <si>
    <t>Receive Floating Rate from Swap</t>
  </si>
  <si>
    <t>Pay Fixed Rate from Swap</t>
  </si>
  <si>
    <t>Settlement of Swap Gain (Loss)</t>
  </si>
  <si>
    <t>Fixed to Floating</t>
  </si>
  <si>
    <t>Receive fixed rate and pay floating. Swap has more value when floating rate LOWER</t>
  </si>
  <si>
    <t>Swap has higher value when the floating rate is HIGH - Receive floating rate and pay fixed</t>
  </si>
  <si>
    <t>Interest Expense paid on fixed</t>
  </si>
  <si>
    <t>Total Interest Expense - Now Variable</t>
  </si>
  <si>
    <t>Total Interest Expense - Now Fixed</t>
  </si>
  <si>
    <t>Fixed Rate</t>
  </si>
  <si>
    <t>Settlement Date</t>
  </si>
  <si>
    <t>Notional Amount</t>
  </si>
  <si>
    <t>Received Floating</t>
  </si>
  <si>
    <t>Pay Fixed</t>
  </si>
  <si>
    <t>Value of Derivative</t>
  </si>
  <si>
    <t>Change in Value</t>
  </si>
  <si>
    <t>Value at Settlement</t>
  </si>
  <si>
    <t>Mark to Market Accounting</t>
  </si>
  <si>
    <t>Interest Expense Cash</t>
  </si>
  <si>
    <t>Net Income</t>
  </si>
  <si>
    <t>Add: Settlement of Derivative</t>
  </si>
  <si>
    <t>Revenue - Interest + Settlement</t>
  </si>
  <si>
    <t>Value at B/S Close</t>
  </si>
  <si>
    <t>Swap Transaction</t>
  </si>
  <si>
    <t>Change in Value in ACOI</t>
  </si>
  <si>
    <t>Settlement of Interest</t>
  </si>
  <si>
    <t>Gain on Undesignated Derivatives</t>
  </si>
  <si>
    <t>Oil Barrels</t>
  </si>
  <si>
    <t>Fixed Oil in Contract</t>
  </si>
  <si>
    <t>Receive Fixed Price</t>
  </si>
  <si>
    <t>Pay Spot Price</t>
  </si>
  <si>
    <t>Spot Oil Price</t>
  </si>
  <si>
    <t xml:space="preserve">Value of Contract </t>
  </si>
  <si>
    <t>Spot Revenues</t>
  </si>
  <si>
    <t>Revenue + Settlement</t>
  </si>
  <si>
    <t>Gain from Settlement</t>
  </si>
  <si>
    <t>Less: Gain on Derivative</t>
  </si>
  <si>
    <t>Opening balance</t>
  </si>
  <si>
    <t>Accumulted Depreciation</t>
  </si>
  <si>
    <t xml:space="preserve">Closing Balance </t>
  </si>
  <si>
    <t>Total Assets</t>
  </si>
  <si>
    <t>Total Equity Balance</t>
  </si>
  <si>
    <t>Direct Method</t>
  </si>
  <si>
    <t>Less: Expenses</t>
  </si>
  <si>
    <t xml:space="preserve">EBITDA </t>
  </si>
  <si>
    <t>Amount</t>
  </si>
  <si>
    <t>Life</t>
  </si>
  <si>
    <t>Add: Write-up</t>
  </si>
  <si>
    <t>Loss on Gamble</t>
  </si>
  <si>
    <t>Make Gamble</t>
  </si>
  <si>
    <t>Value of Gamble</t>
  </si>
  <si>
    <t>Payment for Gamble</t>
  </si>
  <si>
    <t>Yr</t>
  </si>
  <si>
    <t>Value</t>
  </si>
  <si>
    <t>Vaue of Gamble</t>
  </si>
  <si>
    <t>Less Change in value of gamble</t>
  </si>
  <si>
    <t>Less: Payment for Gamble</t>
  </si>
  <si>
    <t>Less: Payment for Hedge</t>
  </si>
  <si>
    <t>Less: Cash Realised</t>
  </si>
  <si>
    <t>Less: Non-Controlling Minority</t>
  </si>
  <si>
    <t>Net Income to Majority</t>
  </si>
  <si>
    <t>Common Equity Balance</t>
  </si>
  <si>
    <t>Less: Dividend to Common</t>
  </si>
  <si>
    <t>Less: Dividend to Minority</t>
  </si>
  <si>
    <t>Majority Equity Balance</t>
  </si>
  <si>
    <t>Minority Equity Balance</t>
  </si>
  <si>
    <t>Local Inflation</t>
  </si>
  <si>
    <t>Foreign Inflation</t>
  </si>
  <si>
    <t>Debt</t>
  </si>
  <si>
    <t>Value Local</t>
  </si>
  <si>
    <t>Gain - Value Reduced</t>
  </si>
  <si>
    <t>Nominal Value - Foreign</t>
  </si>
  <si>
    <t>Repayment of Debt - Local</t>
  </si>
  <si>
    <t>Repayment of Debt - Foreigh</t>
  </si>
  <si>
    <t>Inflow when Borrow</t>
  </si>
  <si>
    <t>Outflow when Repay</t>
  </si>
  <si>
    <t>Acccumulated Gain</t>
  </si>
  <si>
    <t>Add: Gain</t>
  </si>
  <si>
    <t>Less: Repayment</t>
  </si>
  <si>
    <t>Difference in Value</t>
  </si>
  <si>
    <t>From Read PDF File</t>
  </si>
  <si>
    <t>Variable Expense</t>
  </si>
  <si>
    <t>Fixed Expenses</t>
  </si>
  <si>
    <t xml:space="preserve">Operating Income </t>
  </si>
  <si>
    <t xml:space="preserve">Company </t>
  </si>
  <si>
    <t>A</t>
  </si>
  <si>
    <t>B</t>
  </si>
  <si>
    <t>C</t>
  </si>
  <si>
    <t>Cost of Sales</t>
  </si>
  <si>
    <t>Administration Expense</t>
  </si>
  <si>
    <t>Stock Based Compensation</t>
  </si>
  <si>
    <t>Operating Margin</t>
  </si>
  <si>
    <t>Interest Income</t>
  </si>
  <si>
    <t>Re-structuring Expenses</t>
  </si>
  <si>
    <t>Add: Stock Based Compensation</t>
  </si>
  <si>
    <t>Add: Non-Cash Re-structuring</t>
  </si>
  <si>
    <t>Cash Flow from Operations</t>
  </si>
  <si>
    <t>Less: Capital Expenditures</t>
  </si>
  <si>
    <t>Add: Proceeds from Asset Sales</t>
  </si>
  <si>
    <t>Cash flow from Investing</t>
  </si>
  <si>
    <t>Add: New Debt</t>
  </si>
  <si>
    <t>Less: Debt Repayment</t>
  </si>
  <si>
    <t>Cash flow from Financing</t>
  </si>
  <si>
    <t>Less: Cash Operating Expense</t>
  </si>
  <si>
    <t>Less: Stock Payment to Employees</t>
  </si>
  <si>
    <t>Less: Cash Paid for Re-structuring</t>
  </si>
  <si>
    <t>Indirect Method</t>
  </si>
  <si>
    <t>Add: Interest Expense</t>
  </si>
  <si>
    <t>Less: Interest Income</t>
  </si>
  <si>
    <t>Income Before Tax</t>
  </si>
  <si>
    <t>Taxes</t>
  </si>
  <si>
    <t>Add: Income tax</t>
  </si>
  <si>
    <t>Add: Non-Cash Restructuring</t>
  </si>
  <si>
    <t>Gain on Asset Sale</t>
  </si>
  <si>
    <t>Add: Gain on Sale of Asset</t>
  </si>
  <si>
    <t>Starting Cash in Company</t>
  </si>
  <si>
    <t>Start of Yr 1</t>
  </si>
  <si>
    <t>Cash Earned from Sales of Food</t>
  </si>
  <si>
    <t>Yr 3</t>
  </si>
  <si>
    <t>Cash Spent from Sales of Food</t>
  </si>
  <si>
    <t>Capital Expenditure at Start of Yr</t>
  </si>
  <si>
    <t>Dividends taken out of company</t>
  </si>
  <si>
    <t>Operating Expense</t>
  </si>
  <si>
    <t>Lifetime of Assets</t>
  </si>
  <si>
    <t>Yr Ended 1</t>
  </si>
  <si>
    <t>Yr Ended 2</t>
  </si>
  <si>
    <t>Yr Ended 3</t>
  </si>
  <si>
    <t>Cash Balance</t>
  </si>
  <si>
    <t>Less: Accum Depreciation</t>
  </si>
  <si>
    <t>Net Plant Balance</t>
  </si>
  <si>
    <t xml:space="preserve">Net Income </t>
  </si>
  <si>
    <t>Add Depreciation</t>
  </si>
  <si>
    <t>End of Yr 1</t>
  </si>
  <si>
    <t>End of Yr 2</t>
  </si>
  <si>
    <t>End of Yr 3</t>
  </si>
  <si>
    <t>End of Yr 0</t>
  </si>
  <si>
    <t>Add: Net Cash Flow</t>
  </si>
  <si>
    <t>Gross Plant</t>
  </si>
  <si>
    <t>Capital Expenditure at Start of Yr 1</t>
  </si>
  <si>
    <t xml:space="preserve">Full Cost </t>
  </si>
  <si>
    <t>Successful</t>
  </si>
  <si>
    <t>Efforts</t>
  </si>
  <si>
    <t>Operating Cost</t>
  </si>
  <si>
    <t>Earnings before tax</t>
  </si>
  <si>
    <t>Income Tax</t>
  </si>
  <si>
    <t>Plus Interest</t>
  </si>
  <si>
    <t>Plus Taxes</t>
  </si>
  <si>
    <t>Plus Depreciation</t>
  </si>
  <si>
    <t>Plus Exploration</t>
  </si>
  <si>
    <t>EBITDAX</t>
  </si>
  <si>
    <t>Less: Expenses except Exploration</t>
  </si>
  <si>
    <t>Exploration Expense</t>
  </si>
  <si>
    <t>Lease Expense (Rent)</t>
  </si>
  <si>
    <t>Plus Lease Expense</t>
  </si>
  <si>
    <t>EBITDAR</t>
  </si>
  <si>
    <t>Capitalized</t>
  </si>
  <si>
    <t>Lease or</t>
  </si>
  <si>
    <t>Buy Planes</t>
  </si>
  <si>
    <t>Operating</t>
  </si>
  <si>
    <t>Lease in</t>
  </si>
  <si>
    <t>Expense</t>
  </si>
  <si>
    <t>Fees amortized</t>
  </si>
  <si>
    <t>Interest Capitalized</t>
  </si>
  <si>
    <t>Interest paid on long-term debt</t>
  </si>
  <si>
    <t>Interest paid on short-term debt</t>
  </si>
  <si>
    <t>Interest paid on construction loan</t>
  </si>
  <si>
    <t>Interest for Ratios</t>
  </si>
  <si>
    <t>Revenue</t>
  </si>
  <si>
    <t>Less: Cash Expenses</t>
  </si>
  <si>
    <t>Less: Impairment</t>
  </si>
  <si>
    <t>Less: Interest Expense</t>
  </si>
  <si>
    <t>Add: Interest Income</t>
  </si>
  <si>
    <t>Add: Impairment</t>
  </si>
  <si>
    <t>Cash From Operations</t>
  </si>
  <si>
    <t>New Debt Issued</t>
  </si>
  <si>
    <t>Debt Repaid</t>
  </si>
  <si>
    <t>Dividends</t>
  </si>
  <si>
    <t>Cash Flow from Investing</t>
  </si>
  <si>
    <t>Less: Plant Sales</t>
  </si>
  <si>
    <t>Add: Gain on Sale</t>
  </si>
  <si>
    <t>Less: Plant Sales book Value</t>
  </si>
  <si>
    <t>Intangible Assets</t>
  </si>
  <si>
    <t>Add: Goodwill from Purchases</t>
  </si>
  <si>
    <t>Less: Asset Purchased - Goodwill</t>
  </si>
  <si>
    <t>Less: Intangible Assets Purchased</t>
  </si>
  <si>
    <t>Add: Intangibles Purchased</t>
  </si>
  <si>
    <t>Less: Impairment on Goodwill</t>
  </si>
  <si>
    <t>Less: Amortization Expense</t>
  </si>
  <si>
    <t>Less: Amortization</t>
  </si>
  <si>
    <t>Current Assets</t>
  </si>
  <si>
    <t xml:space="preserve">Cash </t>
  </si>
  <si>
    <t>Investments in Short-term Assets</t>
  </si>
  <si>
    <t>Accounts Receivable</t>
  </si>
  <si>
    <t>Notes Receivable</t>
  </si>
  <si>
    <t>Pre-paid Expenses</t>
  </si>
  <si>
    <t>Long-term Assets</t>
  </si>
  <si>
    <t>Net Plant Assets</t>
  </si>
  <si>
    <t>Goodwill</t>
  </si>
  <si>
    <t>Total Current Assets</t>
  </si>
  <si>
    <t>Total Other Assets</t>
  </si>
  <si>
    <t>Current Liabilities</t>
  </si>
  <si>
    <t>Liabilities and Equity</t>
  </si>
  <si>
    <t>Current Maturities of Debt</t>
  </si>
  <si>
    <t>Accounts Payable</t>
  </si>
  <si>
    <t>Accrued Expenses</t>
  </si>
  <si>
    <t>Interest Payable</t>
  </si>
  <si>
    <t>Dividends Payable</t>
  </si>
  <si>
    <t>Total Current Liabilities</t>
  </si>
  <si>
    <t>Long-term Debt</t>
  </si>
  <si>
    <t>Deferred Taxes - Long-term</t>
  </si>
  <si>
    <t>Total Long-term Liabilities</t>
  </si>
  <si>
    <t>Long-term Liabilities</t>
  </si>
  <si>
    <t>Deferred Tax Liability - Current</t>
  </si>
  <si>
    <t>Equity Capital</t>
  </si>
  <si>
    <t>Total Liabilities and Equity</t>
  </si>
  <si>
    <t>Other Liabilities - Provisions</t>
  </si>
  <si>
    <t>Working Capital Change</t>
  </si>
  <si>
    <t>Operating Current Assets</t>
  </si>
  <si>
    <t>Operating Current Liabilities</t>
  </si>
  <si>
    <t>Total Operating Current Liabilities</t>
  </si>
  <si>
    <t>Total Operating Current Assets</t>
  </si>
  <si>
    <t>Working Capital</t>
  </si>
  <si>
    <t>Change in Working Capital</t>
  </si>
  <si>
    <t>Period 1</t>
  </si>
  <si>
    <t>Start of 1</t>
  </si>
  <si>
    <t>End of 1</t>
  </si>
  <si>
    <t>Cash Investments</t>
  </si>
  <si>
    <t>Investments in Securities</t>
  </si>
  <si>
    <t>Short-term Derivatives</t>
  </si>
  <si>
    <t>Long-term derivatives</t>
  </si>
  <si>
    <t>Notes Payable</t>
  </si>
  <si>
    <t>Long-term investments</t>
  </si>
  <si>
    <t>Current Maturities</t>
  </si>
  <si>
    <t>Total Long-term Assets</t>
  </si>
  <si>
    <t>Deferred Taxes Related to Plant</t>
  </si>
  <si>
    <t>Provisions on Warranties</t>
  </si>
  <si>
    <t>Common Equity</t>
  </si>
  <si>
    <t>Total Liabilities and Capital</t>
  </si>
  <si>
    <t>Net Debt</t>
  </si>
  <si>
    <t>Less: Cash</t>
  </si>
  <si>
    <t>Less: Notes Receivable</t>
  </si>
  <si>
    <t>Less: Short-term Derivatives</t>
  </si>
  <si>
    <t>Less: Long-term Derivatives</t>
  </si>
  <si>
    <t>Less: Long-term Investments</t>
  </si>
  <si>
    <t>Total Net Debt</t>
  </si>
  <si>
    <t>Short-term Derivative Liabilities</t>
  </si>
  <si>
    <t>Deferred Tax Assets</t>
  </si>
  <si>
    <t>Long-term Derivative Liabilities</t>
  </si>
  <si>
    <t>Add: Short-term Derivative Liab</t>
  </si>
  <si>
    <t>Add: Long-term Derivatives</t>
  </si>
  <si>
    <t>Existing Balance Sheet</t>
  </si>
  <si>
    <t>Consideration</t>
  </si>
  <si>
    <t>New Balance Sheet</t>
  </si>
  <si>
    <t>Inventories at Market Value</t>
  </si>
  <si>
    <t>Net Plant at Market Value</t>
  </si>
  <si>
    <t>Intellectual Property Rights</t>
  </si>
  <si>
    <t>Development</t>
  </si>
  <si>
    <t>Memembership Rights</t>
  </si>
  <si>
    <t>Equity Issued to buy Company</t>
  </si>
  <si>
    <t>Derivatives</t>
  </si>
  <si>
    <t>Company 1 - No Impairment</t>
  </si>
  <si>
    <t>Debt Balance</t>
  </si>
  <si>
    <t>Company 2 - Impairment</t>
  </si>
  <si>
    <t>Impairment</t>
  </si>
  <si>
    <t>Accumulated Impairment</t>
  </si>
  <si>
    <t>Other Assets</t>
  </si>
  <si>
    <t>Total Asset</t>
  </si>
  <si>
    <t>Company 1 Debt/Cap</t>
  </si>
  <si>
    <t>Company 2 Debt/Cap</t>
  </si>
  <si>
    <t>Less: Cash Expense</t>
  </si>
  <si>
    <t>Add: Gains from Asset Sales</t>
  </si>
  <si>
    <t>Add: Income from Equity Investments</t>
  </si>
  <si>
    <t>Less: Losses from Foreign Exchange Translation</t>
  </si>
  <si>
    <t>Less: Current Tax</t>
  </si>
  <si>
    <t>Less: Deferred Tax</t>
  </si>
  <si>
    <t>Less: Gain on Sales</t>
  </si>
  <si>
    <t>Less: Non cash income on equity investment</t>
  </si>
  <si>
    <t>Add: Losses on foreign exchange</t>
  </si>
  <si>
    <t>Add: Deferred tax</t>
  </si>
  <si>
    <t>Cash flow from Operations</t>
  </si>
  <si>
    <t>EBITDA - Indirect Method</t>
  </si>
  <si>
    <t>Add: Impairments</t>
  </si>
  <si>
    <t>Add: Loss on FX</t>
  </si>
  <si>
    <t>Add: Taxes</t>
  </si>
  <si>
    <t>Less: Gains on Sales</t>
  </si>
  <si>
    <t>Less: Non-cash equity income</t>
  </si>
  <si>
    <t>EBITDA - Direct Method</t>
  </si>
  <si>
    <t>Add: Cash Earnings - other</t>
  </si>
  <si>
    <t>Total EBITDA</t>
  </si>
  <si>
    <t>Less: Losses on Sales of Investments</t>
  </si>
  <si>
    <t>FFO - Indirect Method</t>
  </si>
  <si>
    <t>Less: Cash Taxes</t>
  </si>
  <si>
    <t>FFO</t>
  </si>
  <si>
    <t>Add: Deferred Taxes</t>
  </si>
  <si>
    <t>FFO - Direct Method</t>
  </si>
  <si>
    <t>Supply Expenses</t>
  </si>
  <si>
    <t>A/R Balance</t>
  </si>
  <si>
    <t>Add: Revenues</t>
  </si>
  <si>
    <t>Less: Collections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</si>
</sst>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.0"/>
    <numFmt numFmtId="167" formatCode="0.000"/>
    <numFmt numFmtId="168" formatCode="&quot;Yr &quot;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333CC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0" xfId="0" applyBorder="1"/>
    <xf numFmtId="3" fontId="0" fillId="0" borderId="1" xfId="0" applyNumberFormat="1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3" fontId="0" fillId="0" borderId="3" xfId="0" applyNumberFormat="1" applyBorder="1"/>
    <xf numFmtId="4" fontId="0" fillId="0" borderId="2" xfId="0" applyNumberFormat="1" applyBorder="1"/>
    <xf numFmtId="164" fontId="0" fillId="0" borderId="0" xfId="0" applyNumberFormat="1" applyBorder="1"/>
    <xf numFmtId="164" fontId="0" fillId="0" borderId="2" xfId="0" applyNumberFormat="1" applyBorder="1"/>
    <xf numFmtId="0" fontId="0" fillId="0" borderId="0" xfId="0" applyFill="1" applyBorder="1"/>
    <xf numFmtId="165" fontId="0" fillId="0" borderId="0" xfId="1" applyNumberFormat="1" applyFont="1"/>
    <xf numFmtId="0" fontId="0" fillId="0" borderId="4" xfId="0" applyBorder="1"/>
    <xf numFmtId="3" fontId="0" fillId="0" borderId="4" xfId="0" applyNumberFormat="1" applyBorder="1"/>
    <xf numFmtId="1" fontId="0" fillId="0" borderId="0" xfId="0" applyNumberFormat="1"/>
    <xf numFmtId="1" fontId="0" fillId="0" borderId="2" xfId="0" applyNumberFormat="1" applyBorder="1"/>
    <xf numFmtId="0" fontId="3" fillId="0" borderId="0" xfId="0" applyFont="1"/>
    <xf numFmtId="165" fontId="3" fillId="0" borderId="0" xfId="1" applyNumberFormat="1" applyFont="1"/>
    <xf numFmtId="165" fontId="3" fillId="0" borderId="0" xfId="0" applyNumberFormat="1" applyFont="1"/>
    <xf numFmtId="0" fontId="4" fillId="0" borderId="0" xfId="0" applyFont="1"/>
    <xf numFmtId="165" fontId="4" fillId="0" borderId="0" xfId="1" applyNumberFormat="1" applyFont="1"/>
    <xf numFmtId="4" fontId="3" fillId="0" borderId="0" xfId="0" applyNumberFormat="1" applyFont="1"/>
    <xf numFmtId="10" fontId="0" fillId="0" borderId="0" xfId="0" applyNumberFormat="1"/>
    <xf numFmtId="3" fontId="0" fillId="0" borderId="0" xfId="0" applyNumberFormat="1" applyBorder="1"/>
    <xf numFmtId="0" fontId="0" fillId="0" borderId="0" xfId="0" applyNumberFormat="1" applyBorder="1"/>
    <xf numFmtId="0" fontId="0" fillId="0" borderId="0" xfId="0" applyAlignment="1">
      <alignment horizontal="left"/>
    </xf>
    <xf numFmtId="0" fontId="0" fillId="2" borderId="0" xfId="0" applyFill="1"/>
    <xf numFmtId="9" fontId="0" fillId="0" borderId="0" xfId="0" applyNumberFormat="1"/>
    <xf numFmtId="0" fontId="5" fillId="0" borderId="0" xfId="0" applyFont="1"/>
    <xf numFmtId="3" fontId="3" fillId="0" borderId="0" xfId="0" applyNumberFormat="1" applyFont="1"/>
    <xf numFmtId="0" fontId="3" fillId="0" borderId="4" xfId="0" applyFont="1" applyBorder="1"/>
    <xf numFmtId="4" fontId="3" fillId="0" borderId="4" xfId="0" applyNumberFormat="1" applyFont="1" applyBorder="1"/>
    <xf numFmtId="3" fontId="4" fillId="0" borderId="0" xfId="0" applyNumberFormat="1" applyFont="1"/>
    <xf numFmtId="10" fontId="4" fillId="0" borderId="0" xfId="0" applyNumberFormat="1" applyFont="1"/>
    <xf numFmtId="0" fontId="5" fillId="0" borderId="5" xfId="0" applyFont="1" applyBorder="1"/>
    <xf numFmtId="0" fontId="5" fillId="0" borderId="4" xfId="0" applyFont="1" applyBorder="1"/>
    <xf numFmtId="4" fontId="5" fillId="0" borderId="4" xfId="0" applyNumberFormat="1" applyFont="1" applyBorder="1"/>
    <xf numFmtId="4" fontId="5" fillId="0" borderId="6" xfId="0" applyNumberFormat="1" applyFont="1" applyBorder="1"/>
    <xf numFmtId="0" fontId="5" fillId="0" borderId="7" xfId="0" applyFont="1" applyBorder="1"/>
    <xf numFmtId="0" fontId="5" fillId="0" borderId="2" xfId="0" applyFont="1" applyBorder="1"/>
    <xf numFmtId="4" fontId="5" fillId="0" borderId="2" xfId="0" applyNumberFormat="1" applyFont="1" applyBorder="1"/>
    <xf numFmtId="4" fontId="5" fillId="0" borderId="8" xfId="0" applyNumberFormat="1" applyFont="1" applyBorder="1"/>
    <xf numFmtId="0" fontId="3" fillId="0" borderId="2" xfId="0" applyFont="1" applyBorder="1"/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Fill="1" applyBorder="1"/>
    <xf numFmtId="0" fontId="3" fillId="0" borderId="5" xfId="0" applyFont="1" applyBorder="1"/>
    <xf numFmtId="0" fontId="3" fillId="0" borderId="6" xfId="0" applyFont="1" applyBorder="1"/>
    <xf numFmtId="0" fontId="3" fillId="0" borderId="5" xfId="0" applyFont="1" applyFill="1" applyBorder="1"/>
    <xf numFmtId="4" fontId="4" fillId="0" borderId="0" xfId="0" applyNumberFormat="1" applyFont="1"/>
    <xf numFmtId="165" fontId="3" fillId="0" borderId="4" xfId="1" applyNumberFormat="1" applyFont="1" applyBorder="1"/>
    <xf numFmtId="165" fontId="3" fillId="0" borderId="6" xfId="1" applyNumberFormat="1" applyFont="1" applyBorder="1"/>
    <xf numFmtId="165" fontId="3" fillId="0" borderId="2" xfId="1" applyNumberFormat="1" applyFont="1" applyBorder="1"/>
    <xf numFmtId="165" fontId="3" fillId="0" borderId="0" xfId="1" applyNumberFormat="1" applyFont="1" applyBorder="1"/>
    <xf numFmtId="1" fontId="0" fillId="0" borderId="4" xfId="0" applyNumberFormat="1" applyBorder="1"/>
    <xf numFmtId="166" fontId="0" fillId="0" borderId="4" xfId="0" applyNumberFormat="1" applyBorder="1"/>
    <xf numFmtId="166" fontId="0" fillId="0" borderId="2" xfId="0" applyNumberFormat="1" applyBorder="1"/>
    <xf numFmtId="1" fontId="0" fillId="0" borderId="0" xfId="0" applyNumberFormat="1" applyBorder="1"/>
    <xf numFmtId="0" fontId="0" fillId="0" borderId="2" xfId="0" applyFill="1" applyBorder="1"/>
    <xf numFmtId="167" fontId="0" fillId="0" borderId="0" xfId="0" applyNumberFormat="1"/>
    <xf numFmtId="1" fontId="0" fillId="0" borderId="3" xfId="0" applyNumberFormat="1" applyBorder="1"/>
    <xf numFmtId="1" fontId="0" fillId="0" borderId="0" xfId="0" applyNumberFormat="1" applyAlignment="1">
      <alignment horizontal="center"/>
    </xf>
    <xf numFmtId="165" fontId="0" fillId="0" borderId="4" xfId="1" applyNumberFormat="1" applyFont="1" applyBorder="1"/>
    <xf numFmtId="165" fontId="0" fillId="0" borderId="0" xfId="1" applyNumberFormat="1" applyFont="1" applyBorder="1"/>
    <xf numFmtId="165" fontId="0" fillId="0" borderId="2" xfId="1" applyNumberFormat="1" applyFont="1" applyBorder="1"/>
    <xf numFmtId="0" fontId="0" fillId="0" borderId="0" xfId="0" applyFill="1"/>
    <xf numFmtId="0" fontId="2" fillId="2" borderId="0" xfId="0" applyFont="1" applyFill="1"/>
    <xf numFmtId="1" fontId="2" fillId="2" borderId="0" xfId="0" applyNumberFormat="1" applyFont="1" applyFill="1"/>
    <xf numFmtId="0" fontId="0" fillId="0" borderId="0" xfId="0" applyFill="1" applyBorder="1" applyAlignment="1">
      <alignment horizontal="left"/>
    </xf>
    <xf numFmtId="3" fontId="0" fillId="0" borderId="0" xfId="0" applyNumberFormat="1" applyFill="1" applyBorder="1"/>
    <xf numFmtId="3" fontId="3" fillId="0" borderId="4" xfId="0" applyNumberFormat="1" applyFont="1" applyBorder="1"/>
    <xf numFmtId="3" fontId="3" fillId="0" borderId="2" xfId="0" applyNumberFormat="1" applyFont="1" applyBorder="1"/>
    <xf numFmtId="3" fontId="3" fillId="0" borderId="4" xfId="0" applyNumberFormat="1" applyFont="1" applyFill="1" applyBorder="1"/>
    <xf numFmtId="3" fontId="4" fillId="0" borderId="0" xfId="0" applyNumberFormat="1" applyFont="1" applyFill="1" applyBorder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2" xfId="0" applyFont="1" applyBorder="1"/>
    <xf numFmtId="0" fontId="3" fillId="0" borderId="9" xfId="0" applyFont="1" applyBorder="1"/>
    <xf numFmtId="0" fontId="3" fillId="0" borderId="1" xfId="0" applyFont="1" applyBorder="1"/>
    <xf numFmtId="0" fontId="3" fillId="0" borderId="1" xfId="0" applyFont="1" applyFill="1" applyBorder="1"/>
    <xf numFmtId="0" fontId="3" fillId="0" borderId="2" xfId="0" applyFont="1" applyFill="1" applyBorder="1"/>
    <xf numFmtId="165" fontId="3" fillId="0" borderId="1" xfId="1" applyNumberFormat="1" applyFont="1" applyBorder="1"/>
    <xf numFmtId="165" fontId="4" fillId="0" borderId="0" xfId="1" applyNumberFormat="1" applyFont="1" applyFill="1" applyBorder="1"/>
    <xf numFmtId="165" fontId="3" fillId="0" borderId="2" xfId="0" applyNumberFormat="1" applyFont="1" applyBorder="1"/>
    <xf numFmtId="0" fontId="2" fillId="0" borderId="0" xfId="0" applyFont="1"/>
    <xf numFmtId="168" fontId="3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6" fillId="0" borderId="0" xfId="0" applyFont="1"/>
    <xf numFmtId="3" fontId="0" fillId="2" borderId="10" xfId="0" applyNumberFormat="1" applyFill="1" applyBorder="1"/>
    <xf numFmtId="3" fontId="0" fillId="2" borderId="2" xfId="0" applyNumberFormat="1" applyFill="1" applyBorder="1"/>
    <xf numFmtId="3" fontId="0" fillId="0" borderId="2" xfId="0" applyNumberFormat="1" applyFill="1" applyBorder="1"/>
    <xf numFmtId="0" fontId="2" fillId="0" borderId="0" xfId="0" applyFont="1" applyBorder="1"/>
    <xf numFmtId="0" fontId="3" fillId="2" borderId="9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59268</xdr:colOff>
      <xdr:row>5</xdr:row>
      <xdr:rowOff>0</xdr:rowOff>
    </xdr:from>
    <xdr:to>
      <xdr:col>5</xdr:col>
      <xdr:colOff>550333</xdr:colOff>
      <xdr:row>5</xdr:row>
      <xdr:rowOff>118534</xdr:rowOff>
    </xdr:to>
    <xdr:cxnSp macro="">
      <xdr:nvCxnSpPr>
        <xdr:cNvPr id="2" name="Straight Arrow Connector 1"/>
        <xdr:cNvCxnSpPr/>
      </xdr:nvCxnSpPr>
      <xdr:spPr>
        <a:xfrm flipH="1">
          <a:off x="3709248" y="914400"/>
          <a:ext cx="1146385" cy="11853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tabSelected="1" zoomScale="80" zoomScaleNormal="80" workbookViewId="0">
      <selection activeCell="E8" sqref="E8"/>
    </sheetView>
  </sheetViews>
  <sheetFormatPr defaultRowHeight="14.4" x14ac:dyDescent="0.3"/>
  <cols>
    <col min="2" max="2" width="26.5546875" customWidth="1"/>
    <col min="5" max="5" width="9.5546875" bestFit="1" customWidth="1"/>
    <col min="7" max="7" width="16.77734375" customWidth="1"/>
    <col min="11" max="11" width="16.21875" customWidth="1"/>
  </cols>
  <sheetData>
    <row r="1" spans="2:13" x14ac:dyDescent="0.3">
      <c r="D1" s="2" t="s">
        <v>22</v>
      </c>
      <c r="E1" s="2" t="s">
        <v>23</v>
      </c>
    </row>
    <row r="2" spans="2:13" x14ac:dyDescent="0.3">
      <c r="B2" t="s">
        <v>2</v>
      </c>
      <c r="D2">
        <v>300</v>
      </c>
      <c r="E2">
        <f>D9</f>
        <v>75</v>
      </c>
    </row>
    <row r="4" spans="2:13" x14ac:dyDescent="0.3">
      <c r="B4" t="s">
        <v>0</v>
      </c>
      <c r="D4">
        <v>200</v>
      </c>
      <c r="E4">
        <f>D4</f>
        <v>200</v>
      </c>
    </row>
    <row r="5" spans="2:13" x14ac:dyDescent="0.3">
      <c r="B5" t="s">
        <v>1</v>
      </c>
      <c r="D5">
        <v>-100</v>
      </c>
      <c r="E5">
        <f>D5</f>
        <v>-100</v>
      </c>
      <c r="G5" t="s">
        <v>25</v>
      </c>
      <c r="H5" t="s">
        <v>83</v>
      </c>
    </row>
    <row r="6" spans="2:13" x14ac:dyDescent="0.3">
      <c r="B6" t="s">
        <v>18</v>
      </c>
      <c r="D6">
        <v>-250</v>
      </c>
      <c r="G6" t="s">
        <v>19</v>
      </c>
      <c r="H6" t="s">
        <v>320</v>
      </c>
    </row>
    <row r="7" spans="2:13" x14ac:dyDescent="0.3">
      <c r="B7" t="s">
        <v>13</v>
      </c>
      <c r="D7">
        <v>-75</v>
      </c>
      <c r="E7">
        <v>-75</v>
      </c>
      <c r="G7" t="s">
        <v>20</v>
      </c>
    </row>
    <row r="8" spans="2:13" x14ac:dyDescent="0.3">
      <c r="H8" s="6"/>
      <c r="I8" s="6"/>
      <c r="J8" s="6"/>
      <c r="K8" s="6"/>
      <c r="L8" s="6"/>
    </row>
    <row r="9" spans="2:13" x14ac:dyDescent="0.3">
      <c r="B9" t="s">
        <v>3</v>
      </c>
      <c r="D9">
        <f>SUM(D2:D8)</f>
        <v>75</v>
      </c>
      <c r="E9">
        <f>SUM(E2:E8)</f>
        <v>100</v>
      </c>
      <c r="G9" t="s">
        <v>36</v>
      </c>
    </row>
    <row r="10" spans="2:13" ht="15" thickBot="1" x14ac:dyDescent="0.35">
      <c r="B10" s="1" t="s">
        <v>28</v>
      </c>
      <c r="C10" s="1"/>
      <c r="D10" s="1">
        <f>D9-D2</f>
        <v>-225</v>
      </c>
      <c r="E10" s="1">
        <f>E9-E2</f>
        <v>25</v>
      </c>
      <c r="G10" t="s">
        <v>37</v>
      </c>
    </row>
    <row r="12" spans="2:13" x14ac:dyDescent="0.3">
      <c r="B12" t="s">
        <v>4</v>
      </c>
      <c r="C12" s="2" t="s">
        <v>29</v>
      </c>
      <c r="D12" s="2" t="s">
        <v>30</v>
      </c>
      <c r="E12" s="2" t="s">
        <v>31</v>
      </c>
      <c r="G12" s="73"/>
      <c r="H12" s="15"/>
      <c r="I12" s="15"/>
      <c r="J12" s="74"/>
      <c r="K12" s="74"/>
      <c r="L12" s="74"/>
    </row>
    <row r="13" spans="2:13" x14ac:dyDescent="0.3">
      <c r="B13" t="s">
        <v>5</v>
      </c>
      <c r="C13">
        <v>300</v>
      </c>
      <c r="D13">
        <f>D9</f>
        <v>75</v>
      </c>
      <c r="E13">
        <f>E9</f>
        <v>100</v>
      </c>
      <c r="G13" s="15"/>
      <c r="H13" s="15"/>
      <c r="I13" s="15"/>
      <c r="J13" s="15"/>
      <c r="K13" s="15"/>
      <c r="L13" s="15"/>
    </row>
    <row r="14" spans="2:13" x14ac:dyDescent="0.3">
      <c r="B14" t="s">
        <v>40</v>
      </c>
      <c r="D14">
        <f>-D6</f>
        <v>250</v>
      </c>
      <c r="E14">
        <f>D14</f>
        <v>250</v>
      </c>
      <c r="G14" s="15"/>
      <c r="H14" s="15"/>
      <c r="I14" s="15"/>
      <c r="J14" s="15"/>
      <c r="K14" s="15"/>
      <c r="L14" s="15"/>
    </row>
    <row r="15" spans="2:13" x14ac:dyDescent="0.3">
      <c r="B15" t="s">
        <v>88</v>
      </c>
      <c r="C15">
        <v>0</v>
      </c>
      <c r="D15" s="5">
        <f>M15</f>
        <v>62.5</v>
      </c>
      <c r="E15" s="5">
        <f>D15*2</f>
        <v>125</v>
      </c>
      <c r="G15" s="15"/>
      <c r="H15" s="15"/>
      <c r="I15" s="15"/>
      <c r="J15" s="15"/>
      <c r="K15" s="15"/>
      <c r="L15" s="15"/>
      <c r="M15">
        <f>-D6/4</f>
        <v>62.5</v>
      </c>
    </row>
    <row r="16" spans="2:13" ht="15" thickBot="1" x14ac:dyDescent="0.35">
      <c r="B16" s="1" t="s">
        <v>259</v>
      </c>
      <c r="C16" s="1">
        <f>C14-C15</f>
        <v>0</v>
      </c>
      <c r="D16" s="7">
        <f>D14-D15</f>
        <v>187.5</v>
      </c>
      <c r="E16" s="7">
        <f>E14-E15</f>
        <v>125</v>
      </c>
      <c r="G16" s="15"/>
      <c r="H16" s="15"/>
      <c r="I16" s="15"/>
      <c r="J16" s="15"/>
      <c r="K16" s="15"/>
      <c r="L16" s="15"/>
    </row>
    <row r="17" spans="2:12" x14ac:dyDescent="0.3">
      <c r="B17" s="6" t="s">
        <v>21</v>
      </c>
      <c r="C17" s="28">
        <f>SUM(C13:C15)</f>
        <v>300</v>
      </c>
      <c r="D17" s="28">
        <f>D13+D16</f>
        <v>262.5</v>
      </c>
      <c r="E17" s="28">
        <f>E13+E16</f>
        <v>225</v>
      </c>
      <c r="G17" s="15"/>
      <c r="H17" s="15"/>
      <c r="I17" s="15"/>
      <c r="J17" s="15"/>
      <c r="K17" s="15"/>
      <c r="L17" s="15"/>
    </row>
    <row r="18" spans="2:12" ht="15" thickBot="1" x14ac:dyDescent="0.35">
      <c r="B18" s="8" t="s">
        <v>6</v>
      </c>
      <c r="C18" s="8">
        <v>300</v>
      </c>
      <c r="D18" s="9">
        <f>D17</f>
        <v>262.5</v>
      </c>
      <c r="E18" s="8">
        <f>E17</f>
        <v>225</v>
      </c>
      <c r="G18" s="15"/>
      <c r="H18" s="15"/>
      <c r="I18" s="74"/>
      <c r="J18" s="74"/>
      <c r="K18" s="15"/>
      <c r="L18" s="15"/>
    </row>
    <row r="19" spans="2:12" ht="15" thickTop="1" x14ac:dyDescent="0.3">
      <c r="G19" s="15"/>
      <c r="H19" s="15"/>
      <c r="I19" s="74"/>
      <c r="J19" s="74"/>
      <c r="K19" s="15"/>
      <c r="L19" s="15"/>
    </row>
    <row r="20" spans="2:12" x14ac:dyDescent="0.3">
      <c r="B20" t="s">
        <v>7</v>
      </c>
      <c r="D20" s="2" t="s">
        <v>22</v>
      </c>
      <c r="E20" s="2" t="s">
        <v>23</v>
      </c>
      <c r="G20" s="15"/>
      <c r="H20" s="15"/>
      <c r="I20" s="15"/>
      <c r="J20" s="15"/>
      <c r="K20" s="15"/>
      <c r="L20" s="15"/>
    </row>
    <row r="21" spans="2:12" x14ac:dyDescent="0.3">
      <c r="B21" t="s">
        <v>8</v>
      </c>
      <c r="D21">
        <v>200</v>
      </c>
      <c r="E21">
        <v>200</v>
      </c>
      <c r="G21" s="15"/>
      <c r="H21" s="15"/>
      <c r="I21" s="15"/>
      <c r="J21" s="15"/>
      <c r="K21" s="15"/>
      <c r="L21" s="15"/>
    </row>
    <row r="22" spans="2:12" x14ac:dyDescent="0.3">
      <c r="B22" t="s">
        <v>9</v>
      </c>
      <c r="D22">
        <f>D5</f>
        <v>-100</v>
      </c>
      <c r="E22">
        <f>E5</f>
        <v>-100</v>
      </c>
      <c r="G22" s="15"/>
      <c r="H22" s="15"/>
      <c r="I22" s="15"/>
      <c r="J22" s="15"/>
      <c r="K22" s="15"/>
      <c r="L22" s="15"/>
    </row>
    <row r="23" spans="2:12" x14ac:dyDescent="0.3">
      <c r="B23" t="s">
        <v>24</v>
      </c>
      <c r="D23" s="5">
        <f>D15</f>
        <v>62.5</v>
      </c>
      <c r="E23" s="5">
        <f>D23</f>
        <v>62.5</v>
      </c>
      <c r="G23" s="15"/>
      <c r="H23" s="15"/>
      <c r="I23" s="15"/>
      <c r="J23" s="15"/>
      <c r="K23" s="15"/>
      <c r="L23" s="15"/>
    </row>
    <row r="24" spans="2:12" ht="15" thickBot="1" x14ac:dyDescent="0.35">
      <c r="B24" s="8" t="s">
        <v>10</v>
      </c>
      <c r="C24" s="8"/>
      <c r="D24" s="9">
        <f>D21+D22-D23</f>
        <v>37.5</v>
      </c>
      <c r="E24" s="9">
        <f>E21+E22-E23</f>
        <v>37.5</v>
      </c>
      <c r="G24" s="15"/>
      <c r="H24" s="15"/>
      <c r="I24" s="15"/>
      <c r="J24" s="15"/>
      <c r="K24" s="15"/>
      <c r="L24" s="15"/>
    </row>
    <row r="25" spans="2:12" ht="15" thickTop="1" x14ac:dyDescent="0.3">
      <c r="G25" s="15"/>
      <c r="H25" s="15"/>
      <c r="I25" s="15"/>
      <c r="J25" s="15"/>
      <c r="K25" s="15"/>
      <c r="L25" s="15"/>
    </row>
    <row r="26" spans="2:12" x14ac:dyDescent="0.3">
      <c r="B26" t="s">
        <v>14</v>
      </c>
      <c r="D26" s="2" t="s">
        <v>22</v>
      </c>
      <c r="E26" s="2" t="s">
        <v>23</v>
      </c>
      <c r="G26" s="15"/>
      <c r="H26" s="15"/>
      <c r="I26" s="15"/>
      <c r="J26" s="15"/>
      <c r="K26" s="15"/>
      <c r="L26" s="15"/>
    </row>
    <row r="27" spans="2:12" x14ac:dyDescent="0.3">
      <c r="B27" t="s">
        <v>15</v>
      </c>
      <c r="D27">
        <f>D24</f>
        <v>37.5</v>
      </c>
      <c r="E27">
        <f>E24</f>
        <v>37.5</v>
      </c>
      <c r="G27" s="15"/>
      <c r="H27" s="15"/>
      <c r="I27" s="15"/>
      <c r="J27" s="15"/>
      <c r="K27" s="15"/>
      <c r="L27" s="15"/>
    </row>
    <row r="28" spans="2:12" x14ac:dyDescent="0.3">
      <c r="B28" t="s">
        <v>26</v>
      </c>
      <c r="D28">
        <f>M15</f>
        <v>62.5</v>
      </c>
      <c r="E28">
        <f>D28</f>
        <v>62.5</v>
      </c>
      <c r="G28" s="15"/>
      <c r="H28" s="15"/>
      <c r="I28" s="15"/>
      <c r="J28" s="15"/>
      <c r="K28" s="15"/>
      <c r="L28" s="15"/>
    </row>
    <row r="29" spans="2:12" x14ac:dyDescent="0.3">
      <c r="B29" t="s">
        <v>27</v>
      </c>
      <c r="D29">
        <f>D6</f>
        <v>-250</v>
      </c>
      <c r="E29">
        <v>0</v>
      </c>
      <c r="G29" s="15"/>
      <c r="H29" s="15"/>
      <c r="I29" s="15"/>
      <c r="J29" s="15"/>
      <c r="K29" s="15"/>
      <c r="L29" s="15"/>
    </row>
    <row r="30" spans="2:12" s="6" customFormat="1" x14ac:dyDescent="0.3">
      <c r="B30" s="6" t="s">
        <v>16</v>
      </c>
      <c r="D30" s="6">
        <f>D7</f>
        <v>-75</v>
      </c>
      <c r="E30" s="6">
        <f>E7</f>
        <v>-75</v>
      </c>
      <c r="G30" s="15"/>
      <c r="H30" s="15"/>
      <c r="I30" s="15"/>
      <c r="J30" s="15"/>
      <c r="K30" s="15"/>
      <c r="L30" s="15"/>
    </row>
    <row r="31" spans="2:12" ht="15" thickBot="1" x14ac:dyDescent="0.35">
      <c r="B31" s="8" t="s">
        <v>17</v>
      </c>
      <c r="C31" s="8"/>
      <c r="D31" s="8">
        <f>SUM(D27:D30)</f>
        <v>-225</v>
      </c>
      <c r="E31" s="8">
        <f>SUM(E27:E30)</f>
        <v>25</v>
      </c>
      <c r="G31" s="15"/>
      <c r="H31" s="15"/>
      <c r="I31" s="15"/>
      <c r="J31" s="15"/>
      <c r="K31" s="15"/>
      <c r="L31" s="15"/>
    </row>
    <row r="32" spans="2:12" ht="15" thickTop="1" x14ac:dyDescent="0.3">
      <c r="G32" s="15"/>
      <c r="H32" s="15"/>
      <c r="I32" s="15"/>
      <c r="J32" s="15"/>
      <c r="K32" s="15"/>
      <c r="L32" s="15"/>
    </row>
    <row r="33" spans="2:4" x14ac:dyDescent="0.3">
      <c r="B33" t="s">
        <v>10</v>
      </c>
    </row>
    <row r="34" spans="2:4" x14ac:dyDescent="0.3">
      <c r="B34" t="s">
        <v>11</v>
      </c>
      <c r="D34">
        <f>D18</f>
        <v>262.5</v>
      </c>
    </row>
    <row r="35" spans="2:4" x14ac:dyDescent="0.3">
      <c r="B35" t="s">
        <v>12</v>
      </c>
      <c r="D35">
        <f>-C18</f>
        <v>-300</v>
      </c>
    </row>
    <row r="36" spans="2:4" ht="15" thickBot="1" x14ac:dyDescent="0.35">
      <c r="B36" s="1" t="s">
        <v>10</v>
      </c>
      <c r="C36" s="1"/>
      <c r="D36" s="1">
        <f>D34+D35</f>
        <v>-37.5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F23"/>
  <sheetViews>
    <sheetView workbookViewId="0">
      <selection activeCell="H24" sqref="H24"/>
    </sheetView>
  </sheetViews>
  <sheetFormatPr defaultRowHeight="14.4" x14ac:dyDescent="0.3"/>
  <cols>
    <col min="3" max="3" width="26" customWidth="1"/>
  </cols>
  <sheetData>
    <row r="6" spans="3:6" x14ac:dyDescent="0.3">
      <c r="C6" t="s">
        <v>8</v>
      </c>
      <c r="E6">
        <v>100</v>
      </c>
      <c r="F6">
        <v>0</v>
      </c>
    </row>
    <row r="7" spans="3:6" x14ac:dyDescent="0.3">
      <c r="C7" t="s">
        <v>240</v>
      </c>
      <c r="E7">
        <v>30</v>
      </c>
    </row>
    <row r="8" spans="3:6" x14ac:dyDescent="0.3">
      <c r="C8" t="s">
        <v>241</v>
      </c>
      <c r="E8" s="27">
        <f>E7/365</f>
        <v>8.2191780821917804E-2</v>
      </c>
    </row>
    <row r="10" spans="3:6" x14ac:dyDescent="0.3">
      <c r="E10">
        <v>1</v>
      </c>
      <c r="F10">
        <v>2</v>
      </c>
    </row>
    <row r="11" spans="3:6" x14ac:dyDescent="0.3">
      <c r="C11" t="s">
        <v>242</v>
      </c>
      <c r="E11">
        <v>0</v>
      </c>
      <c r="F11" s="3">
        <f>E14</f>
        <v>8.2191780821917799</v>
      </c>
    </row>
    <row r="12" spans="3:6" x14ac:dyDescent="0.3">
      <c r="C12" t="s">
        <v>243</v>
      </c>
      <c r="E12" s="3">
        <f>E6*E8</f>
        <v>8.2191780821917799</v>
      </c>
    </row>
    <row r="13" spans="3:6" x14ac:dyDescent="0.3">
      <c r="C13" t="s">
        <v>244</v>
      </c>
      <c r="E13">
        <v>0</v>
      </c>
      <c r="F13" s="3">
        <f>E12</f>
        <v>8.2191780821917799</v>
      </c>
    </row>
    <row r="14" spans="3:6" x14ac:dyDescent="0.3">
      <c r="C14" t="s">
        <v>245</v>
      </c>
      <c r="E14" s="3">
        <f>E11+E12-E13</f>
        <v>8.2191780821917799</v>
      </c>
      <c r="F14" s="3">
        <f>F11+F12-F13</f>
        <v>0</v>
      </c>
    </row>
    <row r="16" spans="3:6" x14ac:dyDescent="0.3">
      <c r="C16" t="s">
        <v>246</v>
      </c>
      <c r="E16" s="3">
        <f>E14-D14</f>
        <v>8.2191780821917799</v>
      </c>
      <c r="F16" s="3">
        <f>F14-E14</f>
        <v>-8.2191780821917799</v>
      </c>
    </row>
    <row r="17" spans="3:6" x14ac:dyDescent="0.3">
      <c r="F17" s="3"/>
    </row>
    <row r="18" spans="3:6" x14ac:dyDescent="0.3">
      <c r="C18" t="s">
        <v>247</v>
      </c>
      <c r="E18" s="3">
        <f>E6-E14</f>
        <v>91.780821917808225</v>
      </c>
      <c r="F18" s="3">
        <f>F13</f>
        <v>8.2191780821917799</v>
      </c>
    </row>
    <row r="20" spans="3:6" x14ac:dyDescent="0.3">
      <c r="C20" t="s">
        <v>248</v>
      </c>
      <c r="E20">
        <f>E6</f>
        <v>100</v>
      </c>
      <c r="F20">
        <v>0</v>
      </c>
    </row>
    <row r="21" spans="3:6" x14ac:dyDescent="0.3">
      <c r="C21" t="s">
        <v>249</v>
      </c>
      <c r="E21" s="3">
        <f>E16</f>
        <v>8.2191780821917799</v>
      </c>
      <c r="F21" s="3">
        <f>F16</f>
        <v>-8.2191780821917799</v>
      </c>
    </row>
    <row r="22" spans="3:6" ht="15" thickBot="1" x14ac:dyDescent="0.35">
      <c r="C22" s="8" t="s">
        <v>250</v>
      </c>
      <c r="D22" s="8"/>
      <c r="E22" s="12">
        <f>E20-E21</f>
        <v>91.780821917808225</v>
      </c>
      <c r="F22" s="12">
        <f>F20-F21</f>
        <v>8.2191780821917799</v>
      </c>
    </row>
    <row r="23" spans="3:6" ht="15" thickTop="1" x14ac:dyDescent="0.3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3"/>
  <sheetViews>
    <sheetView topLeftCell="A2" workbookViewId="0">
      <selection activeCell="B2" sqref="B2"/>
    </sheetView>
  </sheetViews>
  <sheetFormatPr defaultRowHeight="14.4" x14ac:dyDescent="0.3"/>
  <cols>
    <col min="2" max="2" width="22.6640625" customWidth="1"/>
  </cols>
  <sheetData>
    <row r="2" spans="2:18" x14ac:dyDescent="0.3">
      <c r="B2" t="s">
        <v>82</v>
      </c>
      <c r="C2">
        <v>10</v>
      </c>
    </row>
    <row r="3" spans="2:18" x14ac:dyDescent="0.3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  <c r="P3">
        <v>13</v>
      </c>
      <c r="Q3">
        <v>14</v>
      </c>
      <c r="R3">
        <v>15</v>
      </c>
    </row>
    <row r="4" spans="2:18" x14ac:dyDescent="0.3">
      <c r="B4" t="s">
        <v>81</v>
      </c>
      <c r="D4" s="3">
        <v>100</v>
      </c>
      <c r="E4" s="3">
        <f>D4*1.05</f>
        <v>105</v>
      </c>
      <c r="F4" s="3">
        <f t="shared" ref="F4:R4" si="0">E4*1.05</f>
        <v>110.25</v>
      </c>
      <c r="G4" s="3">
        <f t="shared" si="0"/>
        <v>115.7625</v>
      </c>
      <c r="H4" s="3">
        <f t="shared" si="0"/>
        <v>121.55062500000001</v>
      </c>
      <c r="I4" s="3">
        <f t="shared" si="0"/>
        <v>127.62815625000002</v>
      </c>
      <c r="J4" s="3">
        <f t="shared" si="0"/>
        <v>134.00956406250003</v>
      </c>
      <c r="K4" s="3">
        <f t="shared" si="0"/>
        <v>140.71004226562505</v>
      </c>
      <c r="L4" s="3">
        <f t="shared" si="0"/>
        <v>147.74554437890632</v>
      </c>
      <c r="M4" s="3">
        <f t="shared" si="0"/>
        <v>155.13282159785163</v>
      </c>
      <c r="N4" s="3">
        <f t="shared" si="0"/>
        <v>162.88946267774421</v>
      </c>
      <c r="O4" s="3">
        <f t="shared" si="0"/>
        <v>171.03393581163144</v>
      </c>
      <c r="P4" s="3">
        <f t="shared" si="0"/>
        <v>179.58563260221302</v>
      </c>
      <c r="Q4" s="3">
        <f t="shared" si="0"/>
        <v>188.56491423232367</v>
      </c>
      <c r="R4" s="3">
        <f t="shared" si="0"/>
        <v>197.99315994393987</v>
      </c>
    </row>
    <row r="5" spans="2:18" x14ac:dyDescent="0.3">
      <c r="B5" t="s">
        <v>83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x14ac:dyDescent="0.3">
      <c r="B6" t="s">
        <v>77</v>
      </c>
      <c r="D6" s="3">
        <f>C9</f>
        <v>0</v>
      </c>
      <c r="E6" s="3">
        <f t="shared" ref="E6:R6" ca="1" si="1">D9</f>
        <v>100</v>
      </c>
      <c r="F6" s="3">
        <f t="shared" ca="1" si="1"/>
        <v>205</v>
      </c>
      <c r="G6" s="3">
        <f t="shared" ca="1" si="1"/>
        <v>315.25</v>
      </c>
      <c r="H6" s="3">
        <f t="shared" ca="1" si="1"/>
        <v>431.01249999999999</v>
      </c>
      <c r="I6" s="3">
        <f t="shared" ca="1" si="1"/>
        <v>552.56312500000001</v>
      </c>
      <c r="J6" s="3">
        <f t="shared" ca="1" si="1"/>
        <v>680.19128124999997</v>
      </c>
      <c r="K6" s="3">
        <f t="shared" ca="1" si="1"/>
        <v>814.20084531249995</v>
      </c>
      <c r="L6" s="3">
        <f t="shared" ca="1" si="1"/>
        <v>954.91088757812497</v>
      </c>
      <c r="M6" s="3">
        <f t="shared" ca="1" si="1"/>
        <v>1102.6564319570314</v>
      </c>
      <c r="N6" s="3">
        <f t="shared" ca="1" si="1"/>
        <v>1257.7892535548831</v>
      </c>
      <c r="O6" s="3">
        <f t="shared" ca="1" si="1"/>
        <v>1320.6787162326273</v>
      </c>
      <c r="P6" s="3">
        <f t="shared" ca="1" si="1"/>
        <v>1386.7126520442587</v>
      </c>
      <c r="Q6" s="3">
        <f t="shared" ca="1" si="1"/>
        <v>1456.0482846464718</v>
      </c>
      <c r="R6" s="3">
        <f t="shared" ca="1" si="1"/>
        <v>1528.8506988787954</v>
      </c>
    </row>
    <row r="7" spans="2:18" x14ac:dyDescent="0.3">
      <c r="B7" t="s">
        <v>84</v>
      </c>
      <c r="D7" s="3">
        <f t="shared" ref="D7:R7" si="2">D4</f>
        <v>100</v>
      </c>
      <c r="E7" s="3">
        <f t="shared" si="2"/>
        <v>105</v>
      </c>
      <c r="F7" s="3">
        <f t="shared" si="2"/>
        <v>110.25</v>
      </c>
      <c r="G7" s="3">
        <f t="shared" si="2"/>
        <v>115.7625</v>
      </c>
      <c r="H7" s="3">
        <f t="shared" si="2"/>
        <v>121.55062500000001</v>
      </c>
      <c r="I7" s="3">
        <f t="shared" si="2"/>
        <v>127.62815625000002</v>
      </c>
      <c r="J7" s="3">
        <f t="shared" si="2"/>
        <v>134.00956406250003</v>
      </c>
      <c r="K7" s="3">
        <f t="shared" si="2"/>
        <v>140.71004226562505</v>
      </c>
      <c r="L7" s="3">
        <f t="shared" si="2"/>
        <v>147.74554437890632</v>
      </c>
      <c r="M7" s="3">
        <f t="shared" si="2"/>
        <v>155.13282159785163</v>
      </c>
      <c r="N7" s="3">
        <f t="shared" si="2"/>
        <v>162.88946267774421</v>
      </c>
      <c r="O7" s="3">
        <f t="shared" si="2"/>
        <v>171.03393581163144</v>
      </c>
      <c r="P7" s="3">
        <f t="shared" si="2"/>
        <v>179.58563260221302</v>
      </c>
      <c r="Q7" s="3">
        <f t="shared" si="2"/>
        <v>188.56491423232367</v>
      </c>
      <c r="R7" s="3">
        <f t="shared" si="2"/>
        <v>197.99315994393987</v>
      </c>
    </row>
    <row r="8" spans="2:18" x14ac:dyDescent="0.3">
      <c r="B8" t="s">
        <v>85</v>
      </c>
      <c r="D8" s="3">
        <f t="shared" ref="D8:R8" ca="1" si="3">IF(D3&gt;$C$2,OFFSET(D7,0,-$C$2))*1</f>
        <v>0</v>
      </c>
      <c r="E8" s="3">
        <f t="shared" ca="1" si="3"/>
        <v>0</v>
      </c>
      <c r="F8" s="3">
        <f t="shared" ca="1" si="3"/>
        <v>0</v>
      </c>
      <c r="G8" s="3">
        <f t="shared" ca="1" si="3"/>
        <v>0</v>
      </c>
      <c r="H8" s="3">
        <f t="shared" ca="1" si="3"/>
        <v>0</v>
      </c>
      <c r="I8" s="3">
        <f t="shared" ca="1" si="3"/>
        <v>0</v>
      </c>
      <c r="J8" s="3">
        <f t="shared" ca="1" si="3"/>
        <v>0</v>
      </c>
      <c r="K8" s="3">
        <f t="shared" ca="1" si="3"/>
        <v>0</v>
      </c>
      <c r="L8" s="3">
        <f t="shared" ca="1" si="3"/>
        <v>0</v>
      </c>
      <c r="M8" s="3">
        <f t="shared" ca="1" si="3"/>
        <v>0</v>
      </c>
      <c r="N8" s="3">
        <f t="shared" ca="1" si="3"/>
        <v>100</v>
      </c>
      <c r="O8" s="3">
        <f t="shared" ca="1" si="3"/>
        <v>105</v>
      </c>
      <c r="P8" s="3">
        <f t="shared" ca="1" si="3"/>
        <v>110.25</v>
      </c>
      <c r="Q8" s="3">
        <f t="shared" ca="1" si="3"/>
        <v>115.7625</v>
      </c>
      <c r="R8" s="3">
        <f t="shared" ca="1" si="3"/>
        <v>121.55062500000001</v>
      </c>
    </row>
    <row r="9" spans="2:18" x14ac:dyDescent="0.3">
      <c r="B9" t="s">
        <v>79</v>
      </c>
      <c r="D9" s="3">
        <f ca="1">D6+D7-D8</f>
        <v>100</v>
      </c>
      <c r="E9" s="3">
        <f t="shared" ref="E9:R9" ca="1" si="4">E6+E7-E8</f>
        <v>205</v>
      </c>
      <c r="F9" s="3">
        <f t="shared" ca="1" si="4"/>
        <v>315.25</v>
      </c>
      <c r="G9" s="3">
        <f t="shared" ca="1" si="4"/>
        <v>431.01249999999999</v>
      </c>
      <c r="H9" s="3">
        <f t="shared" ca="1" si="4"/>
        <v>552.56312500000001</v>
      </c>
      <c r="I9" s="3">
        <f t="shared" ca="1" si="4"/>
        <v>680.19128124999997</v>
      </c>
      <c r="J9" s="3">
        <f t="shared" ca="1" si="4"/>
        <v>814.20084531249995</v>
      </c>
      <c r="K9" s="3">
        <f t="shared" ca="1" si="4"/>
        <v>954.91088757812497</v>
      </c>
      <c r="L9" s="3">
        <f t="shared" ca="1" si="4"/>
        <v>1102.6564319570314</v>
      </c>
      <c r="M9" s="3">
        <f t="shared" ca="1" si="4"/>
        <v>1257.7892535548831</v>
      </c>
      <c r="N9" s="3">
        <f t="shared" ca="1" si="4"/>
        <v>1320.6787162326273</v>
      </c>
      <c r="O9" s="3">
        <f t="shared" ca="1" si="4"/>
        <v>1386.7126520442587</v>
      </c>
      <c r="P9" s="3">
        <f t="shared" ca="1" si="4"/>
        <v>1456.0482846464718</v>
      </c>
      <c r="Q9" s="3">
        <f t="shared" ca="1" si="4"/>
        <v>1528.8506988787954</v>
      </c>
      <c r="R9" s="3">
        <f t="shared" ca="1" si="4"/>
        <v>1605.2932338227351</v>
      </c>
    </row>
    <row r="11" spans="2:18" x14ac:dyDescent="0.3">
      <c r="B11" t="s">
        <v>86</v>
      </c>
      <c r="C11">
        <f>C2</f>
        <v>10</v>
      </c>
      <c r="D11" s="27">
        <f>1/$C$11</f>
        <v>0.1</v>
      </c>
      <c r="E11" s="27">
        <f t="shared" ref="E11:R11" si="5">1/$C$11</f>
        <v>0.1</v>
      </c>
      <c r="F11" s="27">
        <f t="shared" si="5"/>
        <v>0.1</v>
      </c>
      <c r="G11" s="27">
        <f t="shared" si="5"/>
        <v>0.1</v>
      </c>
      <c r="H11" s="27">
        <f t="shared" si="5"/>
        <v>0.1</v>
      </c>
      <c r="I11" s="27">
        <f t="shared" si="5"/>
        <v>0.1</v>
      </c>
      <c r="J11" s="27">
        <f t="shared" si="5"/>
        <v>0.1</v>
      </c>
      <c r="K11" s="27">
        <f t="shared" si="5"/>
        <v>0.1</v>
      </c>
      <c r="L11" s="27">
        <f t="shared" si="5"/>
        <v>0.1</v>
      </c>
      <c r="M11" s="27">
        <f t="shared" si="5"/>
        <v>0.1</v>
      </c>
      <c r="N11" s="27">
        <f t="shared" si="5"/>
        <v>0.1</v>
      </c>
      <c r="O11" s="27">
        <f t="shared" si="5"/>
        <v>0.1</v>
      </c>
      <c r="P11" s="27">
        <f t="shared" si="5"/>
        <v>0.1</v>
      </c>
      <c r="Q11" s="27">
        <f t="shared" si="5"/>
        <v>0.1</v>
      </c>
      <c r="R11" s="27">
        <f t="shared" si="5"/>
        <v>0.1</v>
      </c>
    </row>
    <row r="12" spans="2:18" x14ac:dyDescent="0.3">
      <c r="B12" t="s">
        <v>87</v>
      </c>
      <c r="D12" s="3">
        <f t="shared" ref="D12:R12" si="6">D11*D6</f>
        <v>0</v>
      </c>
      <c r="E12" s="3">
        <f t="shared" ca="1" si="6"/>
        <v>10</v>
      </c>
      <c r="F12" s="3">
        <f t="shared" ca="1" si="6"/>
        <v>20.5</v>
      </c>
      <c r="G12" s="3">
        <f t="shared" ca="1" si="6"/>
        <v>31.525000000000002</v>
      </c>
      <c r="H12" s="3">
        <f t="shared" ca="1" si="6"/>
        <v>43.10125</v>
      </c>
      <c r="I12" s="3">
        <f t="shared" ca="1" si="6"/>
        <v>55.256312500000007</v>
      </c>
      <c r="J12" s="3">
        <f t="shared" ca="1" si="6"/>
        <v>68.019128124999995</v>
      </c>
      <c r="K12" s="3">
        <f t="shared" ca="1" si="6"/>
        <v>81.420084531249998</v>
      </c>
      <c r="L12" s="3">
        <f t="shared" ca="1" si="6"/>
        <v>95.491088757812506</v>
      </c>
      <c r="M12" s="3">
        <f t="shared" ca="1" si="6"/>
        <v>110.26564319570315</v>
      </c>
      <c r="N12" s="3">
        <f t="shared" ca="1" si="6"/>
        <v>125.77892535548831</v>
      </c>
      <c r="O12" s="3">
        <f t="shared" ca="1" si="6"/>
        <v>132.06787162326273</v>
      </c>
      <c r="P12" s="3">
        <f t="shared" ca="1" si="6"/>
        <v>138.67126520442588</v>
      </c>
      <c r="Q12" s="3">
        <f t="shared" ca="1" si="6"/>
        <v>145.60482846464717</v>
      </c>
      <c r="R12" s="3">
        <f t="shared" ca="1" si="6"/>
        <v>152.88506988787955</v>
      </c>
    </row>
    <row r="13" spans="2:18" x14ac:dyDescent="0.3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x14ac:dyDescent="0.3">
      <c r="B14" t="s">
        <v>220</v>
      </c>
      <c r="C14">
        <v>5</v>
      </c>
    </row>
    <row r="15" spans="2:18" x14ac:dyDescent="0.3">
      <c r="D15">
        <v>1</v>
      </c>
      <c r="E15">
        <v>2</v>
      </c>
      <c r="F15">
        <v>3</v>
      </c>
      <c r="G15">
        <v>4</v>
      </c>
      <c r="H15">
        <v>5</v>
      </c>
      <c r="I15">
        <v>6</v>
      </c>
      <c r="J15">
        <v>7</v>
      </c>
      <c r="K15">
        <v>8</v>
      </c>
      <c r="L15">
        <v>9</v>
      </c>
      <c r="M15">
        <v>10</v>
      </c>
      <c r="N15">
        <v>11</v>
      </c>
      <c r="O15">
        <v>12</v>
      </c>
      <c r="P15">
        <v>13</v>
      </c>
      <c r="Q15">
        <v>14</v>
      </c>
      <c r="R15">
        <v>15</v>
      </c>
    </row>
    <row r="16" spans="2:18" x14ac:dyDescent="0.3">
      <c r="B16" t="s">
        <v>83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8" x14ac:dyDescent="0.3">
      <c r="B17" t="s">
        <v>77</v>
      </c>
      <c r="D17" s="3">
        <f>C20</f>
        <v>0</v>
      </c>
      <c r="E17" s="3">
        <f t="shared" ref="E17:R17" ca="1" si="7">D20</f>
        <v>100</v>
      </c>
      <c r="F17" s="3">
        <f t="shared" ca="1" si="7"/>
        <v>205</v>
      </c>
      <c r="G17" s="3">
        <f t="shared" ca="1" si="7"/>
        <v>315.25</v>
      </c>
      <c r="H17" s="3">
        <f t="shared" ca="1" si="7"/>
        <v>431.01249999999999</v>
      </c>
      <c r="I17" s="3">
        <f t="shared" ca="1" si="7"/>
        <v>552.56312500000001</v>
      </c>
      <c r="J17" s="3">
        <f t="shared" ca="1" si="7"/>
        <v>580.19128124999997</v>
      </c>
      <c r="K17" s="3">
        <f t="shared" ca="1" si="7"/>
        <v>609.20084531249995</v>
      </c>
      <c r="L17" s="3">
        <f t="shared" ca="1" si="7"/>
        <v>639.66088757812497</v>
      </c>
      <c r="M17" s="3">
        <f t="shared" ca="1" si="7"/>
        <v>671.64393195703121</v>
      </c>
      <c r="N17" s="3">
        <f t="shared" ca="1" si="7"/>
        <v>705.22612855488285</v>
      </c>
      <c r="O17" s="3">
        <f t="shared" ca="1" si="7"/>
        <v>740.48743498262706</v>
      </c>
      <c r="P17" s="3">
        <f t="shared" ca="1" si="7"/>
        <v>777.5118067317585</v>
      </c>
      <c r="Q17" s="3">
        <f t="shared" ca="1" si="7"/>
        <v>816.38739706834656</v>
      </c>
      <c r="R17" s="3">
        <f t="shared" ca="1" si="7"/>
        <v>857.20676692176391</v>
      </c>
    </row>
    <row r="18" spans="2:18" x14ac:dyDescent="0.3">
      <c r="B18" t="s">
        <v>84</v>
      </c>
      <c r="D18" s="3">
        <f>D4</f>
        <v>100</v>
      </c>
      <c r="E18" s="3">
        <f t="shared" ref="E18:R18" si="8">E4</f>
        <v>105</v>
      </c>
      <c r="F18" s="3">
        <f t="shared" si="8"/>
        <v>110.25</v>
      </c>
      <c r="G18" s="3">
        <f t="shared" si="8"/>
        <v>115.7625</v>
      </c>
      <c r="H18" s="3">
        <f t="shared" si="8"/>
        <v>121.55062500000001</v>
      </c>
      <c r="I18" s="3">
        <f t="shared" si="8"/>
        <v>127.62815625000002</v>
      </c>
      <c r="J18" s="3">
        <f t="shared" si="8"/>
        <v>134.00956406250003</v>
      </c>
      <c r="K18" s="3">
        <f t="shared" si="8"/>
        <v>140.71004226562505</v>
      </c>
      <c r="L18" s="3">
        <f t="shared" si="8"/>
        <v>147.74554437890632</v>
      </c>
      <c r="M18" s="3">
        <f t="shared" si="8"/>
        <v>155.13282159785163</v>
      </c>
      <c r="N18" s="3">
        <f t="shared" si="8"/>
        <v>162.88946267774421</v>
      </c>
      <c r="O18" s="3">
        <f t="shared" si="8"/>
        <v>171.03393581163144</v>
      </c>
      <c r="P18" s="3">
        <f t="shared" si="8"/>
        <v>179.58563260221302</v>
      </c>
      <c r="Q18" s="3">
        <f t="shared" si="8"/>
        <v>188.56491423232367</v>
      </c>
      <c r="R18" s="3">
        <f t="shared" si="8"/>
        <v>197.99315994393987</v>
      </c>
    </row>
    <row r="19" spans="2:18" x14ac:dyDescent="0.3">
      <c r="B19" t="s">
        <v>85</v>
      </c>
      <c r="D19" s="3">
        <f t="shared" ref="D19:R19" ca="1" si="9">IF(D15&gt;$C$14,OFFSET(D18,0,-$C$14))*1</f>
        <v>0</v>
      </c>
      <c r="E19" s="3">
        <f t="shared" ca="1" si="9"/>
        <v>0</v>
      </c>
      <c r="F19" s="3">
        <f t="shared" ca="1" si="9"/>
        <v>0</v>
      </c>
      <c r="G19" s="3">
        <f t="shared" ca="1" si="9"/>
        <v>0</v>
      </c>
      <c r="H19" s="3">
        <f t="shared" ca="1" si="9"/>
        <v>0</v>
      </c>
      <c r="I19" s="3">
        <f t="shared" ca="1" si="9"/>
        <v>100</v>
      </c>
      <c r="J19" s="3">
        <f t="shared" ca="1" si="9"/>
        <v>105</v>
      </c>
      <c r="K19" s="3">
        <f t="shared" ca="1" si="9"/>
        <v>110.25</v>
      </c>
      <c r="L19" s="3">
        <f t="shared" ca="1" si="9"/>
        <v>115.7625</v>
      </c>
      <c r="M19" s="3">
        <f t="shared" ca="1" si="9"/>
        <v>121.55062500000001</v>
      </c>
      <c r="N19" s="3">
        <f t="shared" ca="1" si="9"/>
        <v>127.62815625000002</v>
      </c>
      <c r="O19" s="3">
        <f t="shared" ca="1" si="9"/>
        <v>134.00956406250003</v>
      </c>
      <c r="P19" s="3">
        <f t="shared" ca="1" si="9"/>
        <v>140.71004226562505</v>
      </c>
      <c r="Q19" s="3">
        <f t="shared" ca="1" si="9"/>
        <v>147.74554437890632</v>
      </c>
      <c r="R19" s="3">
        <f t="shared" ca="1" si="9"/>
        <v>155.13282159785163</v>
      </c>
    </row>
    <row r="20" spans="2:18" x14ac:dyDescent="0.3">
      <c r="B20" t="s">
        <v>79</v>
      </c>
      <c r="D20" s="3">
        <f ca="1">D17+D18-D19</f>
        <v>100</v>
      </c>
      <c r="E20" s="3">
        <f t="shared" ref="E20:R20" ca="1" si="10">E17+E18-E19</f>
        <v>205</v>
      </c>
      <c r="F20" s="3">
        <f t="shared" ca="1" si="10"/>
        <v>315.25</v>
      </c>
      <c r="G20" s="3">
        <f t="shared" ca="1" si="10"/>
        <v>431.01249999999999</v>
      </c>
      <c r="H20" s="3">
        <f t="shared" ca="1" si="10"/>
        <v>552.56312500000001</v>
      </c>
      <c r="I20" s="3">
        <f t="shared" ca="1" si="10"/>
        <v>580.19128124999997</v>
      </c>
      <c r="J20" s="3">
        <f t="shared" ca="1" si="10"/>
        <v>609.20084531249995</v>
      </c>
      <c r="K20" s="3">
        <f t="shared" ca="1" si="10"/>
        <v>639.66088757812497</v>
      </c>
      <c r="L20" s="3">
        <f t="shared" ca="1" si="10"/>
        <v>671.64393195703121</v>
      </c>
      <c r="M20" s="3">
        <f t="shared" ca="1" si="10"/>
        <v>705.22612855488285</v>
      </c>
      <c r="N20" s="3">
        <f t="shared" ca="1" si="10"/>
        <v>740.48743498262706</v>
      </c>
      <c r="O20" s="3">
        <f t="shared" ca="1" si="10"/>
        <v>777.5118067317585</v>
      </c>
      <c r="P20" s="3">
        <f t="shared" ca="1" si="10"/>
        <v>816.38739706834656</v>
      </c>
      <c r="Q20" s="3">
        <f t="shared" ca="1" si="10"/>
        <v>857.20676692176391</v>
      </c>
      <c r="R20" s="3">
        <f t="shared" ca="1" si="10"/>
        <v>900.06710526785207</v>
      </c>
    </row>
    <row r="22" spans="2:18" x14ac:dyDescent="0.3">
      <c r="B22" t="s">
        <v>86</v>
      </c>
      <c r="C22">
        <f>C14</f>
        <v>5</v>
      </c>
      <c r="D22" s="27">
        <f>1/$C$22</f>
        <v>0.2</v>
      </c>
      <c r="E22" s="27">
        <f t="shared" ref="E22:R22" si="11">1/$C$22</f>
        <v>0.2</v>
      </c>
      <c r="F22" s="27">
        <f t="shared" si="11"/>
        <v>0.2</v>
      </c>
      <c r="G22" s="27">
        <f t="shared" si="11"/>
        <v>0.2</v>
      </c>
      <c r="H22" s="27">
        <f t="shared" si="11"/>
        <v>0.2</v>
      </c>
      <c r="I22" s="27">
        <f t="shared" si="11"/>
        <v>0.2</v>
      </c>
      <c r="J22" s="27">
        <f t="shared" si="11"/>
        <v>0.2</v>
      </c>
      <c r="K22" s="27">
        <f t="shared" si="11"/>
        <v>0.2</v>
      </c>
      <c r="L22" s="27">
        <f t="shared" si="11"/>
        <v>0.2</v>
      </c>
      <c r="M22" s="27">
        <f t="shared" si="11"/>
        <v>0.2</v>
      </c>
      <c r="N22" s="27">
        <f t="shared" si="11"/>
        <v>0.2</v>
      </c>
      <c r="O22" s="27">
        <f t="shared" si="11"/>
        <v>0.2</v>
      </c>
      <c r="P22" s="27">
        <f t="shared" si="11"/>
        <v>0.2</v>
      </c>
      <c r="Q22" s="27">
        <f t="shared" si="11"/>
        <v>0.2</v>
      </c>
      <c r="R22" s="27">
        <f t="shared" si="11"/>
        <v>0.2</v>
      </c>
    </row>
    <row r="24" spans="2:18" x14ac:dyDescent="0.3">
      <c r="B24" t="s">
        <v>221</v>
      </c>
      <c r="D24" s="3">
        <f>D22*D17</f>
        <v>0</v>
      </c>
      <c r="E24" s="3">
        <f t="shared" ref="E24:R24" ca="1" si="12">E22*E17</f>
        <v>20</v>
      </c>
      <c r="F24" s="3">
        <f t="shared" ca="1" si="12"/>
        <v>41</v>
      </c>
      <c r="G24" s="3">
        <f t="shared" ca="1" si="12"/>
        <v>63.050000000000004</v>
      </c>
      <c r="H24" s="3">
        <f t="shared" ca="1" si="12"/>
        <v>86.202500000000001</v>
      </c>
      <c r="I24" s="3">
        <f t="shared" ca="1" si="12"/>
        <v>110.51262500000001</v>
      </c>
      <c r="J24" s="3">
        <f t="shared" ca="1" si="12"/>
        <v>116.03825625</v>
      </c>
      <c r="K24" s="3">
        <f t="shared" ca="1" si="12"/>
        <v>121.8401690625</v>
      </c>
      <c r="L24" s="3">
        <f t="shared" ca="1" si="12"/>
        <v>127.932177515625</v>
      </c>
      <c r="M24" s="3">
        <f t="shared" ca="1" si="12"/>
        <v>134.32878639140625</v>
      </c>
      <c r="N24" s="3">
        <f t="shared" ca="1" si="12"/>
        <v>141.04522571097658</v>
      </c>
      <c r="O24" s="3">
        <f t="shared" ca="1" si="12"/>
        <v>148.09748699652542</v>
      </c>
      <c r="P24" s="3">
        <f t="shared" ca="1" si="12"/>
        <v>155.50236134635171</v>
      </c>
      <c r="Q24" s="3">
        <f t="shared" ca="1" si="12"/>
        <v>163.27747941366931</v>
      </c>
      <c r="R24" s="3">
        <f t="shared" ca="1" si="12"/>
        <v>171.44135338435279</v>
      </c>
    </row>
    <row r="25" spans="2:18" x14ac:dyDescent="0.3">
      <c r="B25" t="s">
        <v>222</v>
      </c>
      <c r="D25" s="3"/>
      <c r="E25" s="3">
        <f t="shared" ref="E25:R25" ca="1" si="13">E24-E12</f>
        <v>10</v>
      </c>
      <c r="F25" s="3">
        <f t="shared" ca="1" si="13"/>
        <v>20.5</v>
      </c>
      <c r="G25" s="3">
        <f t="shared" ca="1" si="13"/>
        <v>31.525000000000002</v>
      </c>
      <c r="H25" s="3">
        <f t="shared" ca="1" si="13"/>
        <v>43.10125</v>
      </c>
      <c r="I25" s="3">
        <f t="shared" ca="1" si="13"/>
        <v>55.256312500000007</v>
      </c>
      <c r="J25" s="3">
        <f t="shared" ca="1" si="13"/>
        <v>48.019128125000009</v>
      </c>
      <c r="K25" s="3">
        <f t="shared" ca="1" si="13"/>
        <v>40.420084531249998</v>
      </c>
      <c r="L25" s="3">
        <f t="shared" ca="1" si="13"/>
        <v>32.441088757812494</v>
      </c>
      <c r="M25" s="3">
        <f t="shared" ca="1" si="13"/>
        <v>24.063143195703105</v>
      </c>
      <c r="N25" s="3">
        <f t="shared" ca="1" si="13"/>
        <v>15.266300355488269</v>
      </c>
      <c r="O25" s="3">
        <f t="shared" ca="1" si="13"/>
        <v>16.029615373262686</v>
      </c>
      <c r="P25" s="3">
        <f t="shared" ca="1" si="13"/>
        <v>16.831096141925826</v>
      </c>
      <c r="Q25" s="3">
        <f t="shared" ca="1" si="13"/>
        <v>17.672650949022142</v>
      </c>
      <c r="R25" s="3">
        <f t="shared" ca="1" si="13"/>
        <v>18.556283496473242</v>
      </c>
    </row>
    <row r="26" spans="2:18" x14ac:dyDescent="0.3">
      <c r="B26" t="s">
        <v>223</v>
      </c>
      <c r="D26" s="27">
        <v>0.3</v>
      </c>
      <c r="E26" s="27">
        <v>0.3</v>
      </c>
      <c r="F26" s="27">
        <v>0.3</v>
      </c>
      <c r="G26" s="27">
        <v>0.3</v>
      </c>
      <c r="H26" s="27">
        <v>0.3</v>
      </c>
      <c r="I26" s="27">
        <v>0.3</v>
      </c>
      <c r="J26" s="27">
        <v>0.3</v>
      </c>
      <c r="K26" s="27">
        <v>0.3</v>
      </c>
      <c r="L26" s="27">
        <v>0.3</v>
      </c>
      <c r="M26" s="27">
        <v>0.3</v>
      </c>
      <c r="N26" s="27">
        <v>0.3</v>
      </c>
      <c r="O26" s="27">
        <v>0.3</v>
      </c>
      <c r="P26" s="27">
        <v>0.3</v>
      </c>
      <c r="Q26" s="27">
        <v>0.3</v>
      </c>
      <c r="R26" s="27">
        <v>0.3</v>
      </c>
    </row>
    <row r="27" spans="2:18" x14ac:dyDescent="0.3">
      <c r="B27" t="s">
        <v>224</v>
      </c>
      <c r="D27" s="3"/>
      <c r="E27" s="3">
        <f ca="1">E25*E26</f>
        <v>3</v>
      </c>
      <c r="F27" s="3">
        <f t="shared" ref="F27:R27" ca="1" si="14">F25*F26</f>
        <v>6.1499999999999995</v>
      </c>
      <c r="G27" s="3">
        <f t="shared" ca="1" si="14"/>
        <v>9.4574999999999996</v>
      </c>
      <c r="H27" s="3">
        <f t="shared" ca="1" si="14"/>
        <v>12.930375</v>
      </c>
      <c r="I27" s="3">
        <f t="shared" ca="1" si="14"/>
        <v>16.57689375</v>
      </c>
      <c r="J27" s="3">
        <f t="shared" ca="1" si="14"/>
        <v>14.405738437500002</v>
      </c>
      <c r="K27" s="3">
        <f t="shared" ca="1" si="14"/>
        <v>12.126025359374999</v>
      </c>
      <c r="L27" s="3">
        <f t="shared" ca="1" si="14"/>
        <v>9.7323266273437472</v>
      </c>
      <c r="M27" s="3">
        <f t="shared" ca="1" si="14"/>
        <v>7.2189429587109313</v>
      </c>
      <c r="N27" s="3">
        <f t="shared" ca="1" si="14"/>
        <v>4.5798901066464808</v>
      </c>
      <c r="O27" s="3">
        <f t="shared" ca="1" si="14"/>
        <v>4.8088846119788053</v>
      </c>
      <c r="P27" s="3">
        <f t="shared" ca="1" si="14"/>
        <v>5.0493288425777481</v>
      </c>
      <c r="Q27" s="3">
        <f t="shared" ca="1" si="14"/>
        <v>5.3017952847066425</v>
      </c>
      <c r="R27" s="3">
        <f t="shared" ca="1" si="14"/>
        <v>5.5668850489419723</v>
      </c>
    </row>
    <row r="28" spans="2:18" x14ac:dyDescent="0.3">
      <c r="B28" t="s">
        <v>225</v>
      </c>
      <c r="D28" s="3"/>
      <c r="E28" s="3">
        <f ca="1">D28+E27</f>
        <v>3</v>
      </c>
      <c r="F28" s="3">
        <f t="shared" ref="F28:R28" ca="1" si="15">E28+F27</f>
        <v>9.1499999999999986</v>
      </c>
      <c r="G28" s="3">
        <f t="shared" ca="1" si="15"/>
        <v>18.607499999999998</v>
      </c>
      <c r="H28" s="3">
        <f t="shared" ca="1" si="15"/>
        <v>31.537875</v>
      </c>
      <c r="I28" s="3">
        <f t="shared" ca="1" si="15"/>
        <v>48.114768749999996</v>
      </c>
      <c r="J28" s="3">
        <f t="shared" ca="1" si="15"/>
        <v>62.520507187500002</v>
      </c>
      <c r="K28" s="3">
        <f t="shared" ca="1" si="15"/>
        <v>74.646532546874994</v>
      </c>
      <c r="L28" s="3">
        <f t="shared" ca="1" si="15"/>
        <v>84.378859174218746</v>
      </c>
      <c r="M28" s="3">
        <f t="shared" ca="1" si="15"/>
        <v>91.597802132929672</v>
      </c>
      <c r="N28" s="3">
        <f t="shared" ca="1" si="15"/>
        <v>96.177692239576146</v>
      </c>
      <c r="O28" s="3">
        <f t="shared" ca="1" si="15"/>
        <v>100.98657685155496</v>
      </c>
      <c r="P28" s="3">
        <f t="shared" ca="1" si="15"/>
        <v>106.03590569413271</v>
      </c>
      <c r="Q28" s="3">
        <f t="shared" ca="1" si="15"/>
        <v>111.33770097883935</v>
      </c>
      <c r="R28" s="3">
        <f t="shared" ca="1" si="15"/>
        <v>116.90458602778132</v>
      </c>
    </row>
    <row r="29" spans="2:18" x14ac:dyDescent="0.3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2:18" x14ac:dyDescent="0.3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2:18" x14ac:dyDescent="0.3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2:18" x14ac:dyDescent="0.3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2:18" x14ac:dyDescent="0.3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3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3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2:18" x14ac:dyDescent="0.3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x14ac:dyDescent="0.3">
      <c r="B37" t="s">
        <v>88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2:18" x14ac:dyDescent="0.3">
      <c r="B38" t="s">
        <v>77</v>
      </c>
      <c r="D38" s="3">
        <f>C41</f>
        <v>0</v>
      </c>
      <c r="E38" s="3">
        <f t="shared" ref="E38:R38" ca="1" si="16">D41</f>
        <v>0</v>
      </c>
      <c r="F38" s="3">
        <f t="shared" ca="1" si="16"/>
        <v>10</v>
      </c>
      <c r="G38" s="3">
        <f t="shared" ca="1" si="16"/>
        <v>30.5</v>
      </c>
      <c r="H38" s="3">
        <f t="shared" ca="1" si="16"/>
        <v>62.025000000000006</v>
      </c>
      <c r="I38" s="3">
        <f t="shared" ca="1" si="16"/>
        <v>105.12625</v>
      </c>
      <c r="J38" s="3">
        <f t="shared" ca="1" si="16"/>
        <v>160.38256250000001</v>
      </c>
      <c r="K38" s="3">
        <f t="shared" ca="1" si="16"/>
        <v>228.40169062500001</v>
      </c>
      <c r="L38" s="3">
        <f t="shared" ca="1" si="16"/>
        <v>309.82177515625</v>
      </c>
      <c r="M38" s="3">
        <f t="shared" ca="1" si="16"/>
        <v>405.31286391406252</v>
      </c>
      <c r="N38" s="3">
        <f t="shared" ca="1" si="16"/>
        <v>515.57850710976572</v>
      </c>
      <c r="O38" s="3">
        <f t="shared" ca="1" si="16"/>
        <v>541.35743246525408</v>
      </c>
      <c r="P38" s="3">
        <f t="shared" ca="1" si="16"/>
        <v>568.42530408851678</v>
      </c>
      <c r="Q38" s="3">
        <f t="shared" ca="1" si="16"/>
        <v>596.8465692929426</v>
      </c>
      <c r="R38" s="3">
        <f t="shared" ca="1" si="16"/>
        <v>626.68889775758976</v>
      </c>
    </row>
    <row r="39" spans="2:18" x14ac:dyDescent="0.3">
      <c r="B39" t="s">
        <v>89</v>
      </c>
      <c r="D39" s="3">
        <f>D12</f>
        <v>0</v>
      </c>
      <c r="E39" s="3">
        <f t="shared" ref="E39:R39" ca="1" si="17">E12</f>
        <v>10</v>
      </c>
      <c r="F39" s="3">
        <f t="shared" ca="1" si="17"/>
        <v>20.5</v>
      </c>
      <c r="G39" s="3">
        <f t="shared" ca="1" si="17"/>
        <v>31.525000000000002</v>
      </c>
      <c r="H39" s="3">
        <f t="shared" ca="1" si="17"/>
        <v>43.10125</v>
      </c>
      <c r="I39" s="3">
        <f t="shared" ca="1" si="17"/>
        <v>55.256312500000007</v>
      </c>
      <c r="J39" s="3">
        <f t="shared" ca="1" si="17"/>
        <v>68.019128124999995</v>
      </c>
      <c r="K39" s="3">
        <f t="shared" ca="1" si="17"/>
        <v>81.420084531249998</v>
      </c>
      <c r="L39" s="3">
        <f t="shared" ca="1" si="17"/>
        <v>95.491088757812506</v>
      </c>
      <c r="M39" s="3">
        <f t="shared" ca="1" si="17"/>
        <v>110.26564319570315</v>
      </c>
      <c r="N39" s="3">
        <f t="shared" ca="1" si="17"/>
        <v>125.77892535548831</v>
      </c>
      <c r="O39" s="3">
        <f t="shared" ca="1" si="17"/>
        <v>132.06787162326273</v>
      </c>
      <c r="P39" s="3">
        <f t="shared" ca="1" si="17"/>
        <v>138.67126520442588</v>
      </c>
      <c r="Q39" s="3">
        <f t="shared" ca="1" si="17"/>
        <v>145.60482846464717</v>
      </c>
      <c r="R39" s="3">
        <f t="shared" ca="1" si="17"/>
        <v>152.88506988787955</v>
      </c>
    </row>
    <row r="40" spans="2:18" x14ac:dyDescent="0.3">
      <c r="B40" t="s">
        <v>90</v>
      </c>
      <c r="D40" s="3">
        <f ca="1">D8</f>
        <v>0</v>
      </c>
      <c r="E40" s="3">
        <f t="shared" ref="E40:R40" ca="1" si="18">E8</f>
        <v>0</v>
      </c>
      <c r="F40" s="3">
        <f t="shared" ca="1" si="18"/>
        <v>0</v>
      </c>
      <c r="G40" s="3">
        <f t="shared" ca="1" si="18"/>
        <v>0</v>
      </c>
      <c r="H40" s="3">
        <f t="shared" ca="1" si="18"/>
        <v>0</v>
      </c>
      <c r="I40" s="3">
        <f t="shared" ca="1" si="18"/>
        <v>0</v>
      </c>
      <c r="J40" s="3">
        <f t="shared" ca="1" si="18"/>
        <v>0</v>
      </c>
      <c r="K40" s="3">
        <f t="shared" ca="1" si="18"/>
        <v>0</v>
      </c>
      <c r="L40" s="3">
        <f t="shared" ca="1" si="18"/>
        <v>0</v>
      </c>
      <c r="M40" s="3">
        <f t="shared" ca="1" si="18"/>
        <v>0</v>
      </c>
      <c r="N40" s="3">
        <f t="shared" ca="1" si="18"/>
        <v>100</v>
      </c>
      <c r="O40" s="3">
        <f t="shared" ca="1" si="18"/>
        <v>105</v>
      </c>
      <c r="P40" s="3">
        <f t="shared" ca="1" si="18"/>
        <v>110.25</v>
      </c>
      <c r="Q40" s="3">
        <f t="shared" ca="1" si="18"/>
        <v>115.7625</v>
      </c>
      <c r="R40" s="3">
        <f t="shared" ca="1" si="18"/>
        <v>121.55062500000001</v>
      </c>
    </row>
    <row r="41" spans="2:18" x14ac:dyDescent="0.3">
      <c r="B41" t="s">
        <v>79</v>
      </c>
      <c r="D41" s="3">
        <f ca="1">D38+D39-D40</f>
        <v>0</v>
      </c>
      <c r="E41" s="3">
        <f t="shared" ref="E41:R41" ca="1" si="19">E38+E39-E40</f>
        <v>10</v>
      </c>
      <c r="F41" s="3">
        <f t="shared" ca="1" si="19"/>
        <v>30.5</v>
      </c>
      <c r="G41" s="3">
        <f t="shared" ca="1" si="19"/>
        <v>62.025000000000006</v>
      </c>
      <c r="H41" s="3">
        <f t="shared" ca="1" si="19"/>
        <v>105.12625</v>
      </c>
      <c r="I41" s="3">
        <f t="shared" ca="1" si="19"/>
        <v>160.38256250000001</v>
      </c>
      <c r="J41" s="3">
        <f t="shared" ca="1" si="19"/>
        <v>228.40169062500001</v>
      </c>
      <c r="K41" s="3">
        <f t="shared" ca="1" si="19"/>
        <v>309.82177515625</v>
      </c>
      <c r="L41" s="3">
        <f t="shared" ca="1" si="19"/>
        <v>405.31286391406252</v>
      </c>
      <c r="M41" s="3">
        <f t="shared" ca="1" si="19"/>
        <v>515.57850710976572</v>
      </c>
      <c r="N41" s="3">
        <f t="shared" ca="1" si="19"/>
        <v>541.35743246525408</v>
      </c>
      <c r="O41" s="3">
        <f t="shared" ca="1" si="19"/>
        <v>568.42530408851678</v>
      </c>
      <c r="P41" s="3">
        <f t="shared" ca="1" si="19"/>
        <v>596.8465692929426</v>
      </c>
      <c r="Q41" s="3">
        <f t="shared" ca="1" si="19"/>
        <v>626.68889775758976</v>
      </c>
      <c r="R41" s="3">
        <f t="shared" ca="1" si="19"/>
        <v>658.02334264546937</v>
      </c>
    </row>
    <row r="42" spans="2:18" x14ac:dyDescent="0.3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3">
      <c r="B43" t="s">
        <v>91</v>
      </c>
      <c r="D43" s="3">
        <f t="shared" ref="D43:R43" ca="1" si="20">D9-D41</f>
        <v>100</v>
      </c>
      <c r="E43" s="3">
        <f t="shared" ca="1" si="20"/>
        <v>195</v>
      </c>
      <c r="F43" s="3">
        <f t="shared" ca="1" si="20"/>
        <v>284.75</v>
      </c>
      <c r="G43" s="3">
        <f t="shared" ca="1" si="20"/>
        <v>368.98749999999995</v>
      </c>
      <c r="H43" s="3">
        <f t="shared" ca="1" si="20"/>
        <v>447.43687499999999</v>
      </c>
      <c r="I43" s="3">
        <f t="shared" ca="1" si="20"/>
        <v>519.80871875000003</v>
      </c>
      <c r="J43" s="3">
        <f t="shared" ca="1" si="20"/>
        <v>585.79915468749994</v>
      </c>
      <c r="K43" s="3">
        <f t="shared" ca="1" si="20"/>
        <v>645.08911242187492</v>
      </c>
      <c r="L43" s="3">
        <f t="shared" ca="1" si="20"/>
        <v>697.34356804296885</v>
      </c>
      <c r="M43" s="3">
        <f t="shared" ca="1" si="20"/>
        <v>742.21074644511737</v>
      </c>
      <c r="N43" s="3">
        <f t="shared" ca="1" si="20"/>
        <v>779.32128376737319</v>
      </c>
      <c r="O43" s="3">
        <f t="shared" ca="1" si="20"/>
        <v>818.28734795574189</v>
      </c>
      <c r="P43" s="3">
        <f t="shared" ca="1" si="20"/>
        <v>859.20171535352915</v>
      </c>
      <c r="Q43" s="3">
        <f t="shared" ca="1" si="20"/>
        <v>902.1618011212056</v>
      </c>
      <c r="R43" s="3">
        <f t="shared" ca="1" si="20"/>
        <v>947.26989117726578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workbookViewId="0">
      <selection activeCell="A24" sqref="A24"/>
    </sheetView>
  </sheetViews>
  <sheetFormatPr defaultRowHeight="14.4" x14ac:dyDescent="0.3"/>
  <cols>
    <col min="2" max="2" width="22.6640625" customWidth="1"/>
  </cols>
  <sheetData>
    <row r="2" spans="2:14" x14ac:dyDescent="0.3">
      <c r="B2" t="s">
        <v>82</v>
      </c>
      <c r="C2">
        <v>5</v>
      </c>
    </row>
    <row r="3" spans="2:14" x14ac:dyDescent="0.3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</row>
    <row r="4" spans="2:14" x14ac:dyDescent="0.3">
      <c r="B4" t="s">
        <v>81</v>
      </c>
      <c r="D4" s="3">
        <v>100</v>
      </c>
      <c r="E4" s="3">
        <f>D4*1.05</f>
        <v>105</v>
      </c>
      <c r="F4" s="3">
        <f t="shared" ref="F4:N4" si="0">E4*1.05</f>
        <v>110.25</v>
      </c>
      <c r="G4" s="3">
        <f t="shared" si="0"/>
        <v>115.7625</v>
      </c>
      <c r="H4" s="3">
        <f t="shared" si="0"/>
        <v>121.55062500000001</v>
      </c>
      <c r="I4" s="3">
        <f t="shared" si="0"/>
        <v>127.62815625000002</v>
      </c>
      <c r="J4" s="3">
        <f t="shared" si="0"/>
        <v>134.00956406250003</v>
      </c>
      <c r="K4" s="3">
        <f t="shared" si="0"/>
        <v>140.71004226562505</v>
      </c>
      <c r="L4" s="3">
        <f t="shared" si="0"/>
        <v>147.74554437890632</v>
      </c>
      <c r="M4" s="3">
        <f t="shared" si="0"/>
        <v>155.13282159785163</v>
      </c>
      <c r="N4" s="3">
        <f t="shared" si="0"/>
        <v>162.88946267774421</v>
      </c>
    </row>
    <row r="5" spans="2:14" x14ac:dyDescent="0.3"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4" x14ac:dyDescent="0.3">
      <c r="B6" t="s">
        <v>83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2:14" x14ac:dyDescent="0.3">
      <c r="B7" t="s">
        <v>77</v>
      </c>
      <c r="D7" s="3">
        <f>C10</f>
        <v>0</v>
      </c>
      <c r="E7" s="3">
        <f t="shared" ref="E7:N7" ca="1" si="1">D10</f>
        <v>100</v>
      </c>
      <c r="F7" s="3">
        <f t="shared" ca="1" si="1"/>
        <v>205</v>
      </c>
      <c r="G7" s="3">
        <f t="shared" ca="1" si="1"/>
        <v>315.25</v>
      </c>
      <c r="H7" s="3">
        <f t="shared" ca="1" si="1"/>
        <v>431.01249999999999</v>
      </c>
      <c r="I7" s="3">
        <f t="shared" ca="1" si="1"/>
        <v>552.56312500000001</v>
      </c>
      <c r="J7" s="3">
        <f t="shared" ca="1" si="1"/>
        <v>580.19128124999997</v>
      </c>
      <c r="K7" s="3">
        <f t="shared" ca="1" si="1"/>
        <v>609.20084531249995</v>
      </c>
      <c r="L7" s="3">
        <f t="shared" ca="1" si="1"/>
        <v>639.66088757812497</v>
      </c>
      <c r="M7" s="3">
        <f t="shared" ca="1" si="1"/>
        <v>671.64393195703121</v>
      </c>
      <c r="N7" s="3">
        <f t="shared" ca="1" si="1"/>
        <v>705.22612855488285</v>
      </c>
    </row>
    <row r="8" spans="2:14" x14ac:dyDescent="0.3">
      <c r="B8" t="s">
        <v>84</v>
      </c>
      <c r="D8" s="3">
        <f>D4</f>
        <v>100</v>
      </c>
      <c r="E8" s="3">
        <f t="shared" ref="E8:N8" si="2">E4</f>
        <v>105</v>
      </c>
      <c r="F8" s="3">
        <f t="shared" si="2"/>
        <v>110.25</v>
      </c>
      <c r="G8" s="3">
        <f t="shared" si="2"/>
        <v>115.7625</v>
      </c>
      <c r="H8" s="3">
        <f t="shared" si="2"/>
        <v>121.55062500000001</v>
      </c>
      <c r="I8" s="3">
        <f t="shared" si="2"/>
        <v>127.62815625000002</v>
      </c>
      <c r="J8" s="3">
        <f t="shared" si="2"/>
        <v>134.00956406250003</v>
      </c>
      <c r="K8" s="3">
        <f t="shared" si="2"/>
        <v>140.71004226562505</v>
      </c>
      <c r="L8" s="3">
        <f t="shared" si="2"/>
        <v>147.74554437890632</v>
      </c>
      <c r="M8" s="3">
        <f t="shared" si="2"/>
        <v>155.13282159785163</v>
      </c>
      <c r="N8" s="3">
        <f t="shared" si="2"/>
        <v>162.88946267774421</v>
      </c>
    </row>
    <row r="9" spans="2:14" x14ac:dyDescent="0.3">
      <c r="B9" t="s">
        <v>85</v>
      </c>
      <c r="D9" s="3">
        <f ca="1">IF(D3&gt;$C$2,OFFSET(D8,0,-$C$2))*1</f>
        <v>0</v>
      </c>
      <c r="E9" s="3">
        <f t="shared" ref="E9:N9" ca="1" si="3">IF(E3&gt;$C$2,OFFSET(E8,0,-$C$2))*1</f>
        <v>0</v>
      </c>
      <c r="F9" s="3">
        <f t="shared" ca="1" si="3"/>
        <v>0</v>
      </c>
      <c r="G9" s="3">
        <f t="shared" ca="1" si="3"/>
        <v>0</v>
      </c>
      <c r="H9" s="3">
        <f t="shared" ca="1" si="3"/>
        <v>0</v>
      </c>
      <c r="I9" s="3">
        <f t="shared" ca="1" si="3"/>
        <v>100</v>
      </c>
      <c r="J9" s="3">
        <f t="shared" ca="1" si="3"/>
        <v>105</v>
      </c>
      <c r="K9" s="3">
        <f t="shared" ca="1" si="3"/>
        <v>110.25</v>
      </c>
      <c r="L9" s="3">
        <f t="shared" ca="1" si="3"/>
        <v>115.7625</v>
      </c>
      <c r="M9" s="3">
        <f t="shared" ca="1" si="3"/>
        <v>121.55062500000001</v>
      </c>
      <c r="N9" s="3">
        <f t="shared" ca="1" si="3"/>
        <v>127.62815625000002</v>
      </c>
    </row>
    <row r="10" spans="2:14" x14ac:dyDescent="0.3">
      <c r="B10" t="s">
        <v>79</v>
      </c>
      <c r="D10" s="3">
        <f ca="1">D7+D8-D9</f>
        <v>100</v>
      </c>
      <c r="E10" s="3">
        <f t="shared" ref="E10:N10" ca="1" si="4">E7+E8-E9</f>
        <v>205</v>
      </c>
      <c r="F10" s="3">
        <f t="shared" ca="1" si="4"/>
        <v>315.25</v>
      </c>
      <c r="G10" s="3">
        <f t="shared" ca="1" si="4"/>
        <v>431.01249999999999</v>
      </c>
      <c r="H10" s="3">
        <f t="shared" ca="1" si="4"/>
        <v>552.56312500000001</v>
      </c>
      <c r="I10" s="3">
        <f t="shared" ca="1" si="4"/>
        <v>580.19128124999997</v>
      </c>
      <c r="J10" s="3">
        <f t="shared" ca="1" si="4"/>
        <v>609.20084531249995</v>
      </c>
      <c r="K10" s="3">
        <f t="shared" ca="1" si="4"/>
        <v>639.66088757812497</v>
      </c>
      <c r="L10" s="3">
        <f t="shared" ca="1" si="4"/>
        <v>671.64393195703121</v>
      </c>
      <c r="M10" s="3">
        <f t="shared" ca="1" si="4"/>
        <v>705.22612855488285</v>
      </c>
      <c r="N10" s="3">
        <f t="shared" ca="1" si="4"/>
        <v>740.48743498262706</v>
      </c>
    </row>
    <row r="12" spans="2:14" x14ac:dyDescent="0.3">
      <c r="B12" t="s">
        <v>86</v>
      </c>
      <c r="C12">
        <f>C2</f>
        <v>5</v>
      </c>
      <c r="D12" s="27">
        <f>1/$C$12</f>
        <v>0.2</v>
      </c>
      <c r="E12" s="27">
        <f t="shared" ref="E12:N12" si="5">1/$C$12</f>
        <v>0.2</v>
      </c>
      <c r="F12" s="27">
        <f t="shared" si="5"/>
        <v>0.2</v>
      </c>
      <c r="G12" s="27">
        <f t="shared" si="5"/>
        <v>0.2</v>
      </c>
      <c r="H12" s="27">
        <f t="shared" si="5"/>
        <v>0.2</v>
      </c>
      <c r="I12" s="27">
        <f t="shared" si="5"/>
        <v>0.2</v>
      </c>
      <c r="J12" s="27">
        <f t="shared" si="5"/>
        <v>0.2</v>
      </c>
      <c r="K12" s="27">
        <f t="shared" si="5"/>
        <v>0.2</v>
      </c>
      <c r="L12" s="27">
        <f t="shared" si="5"/>
        <v>0.2</v>
      </c>
      <c r="M12" s="27">
        <f t="shared" si="5"/>
        <v>0.2</v>
      </c>
      <c r="N12" s="27">
        <f t="shared" si="5"/>
        <v>0.2</v>
      </c>
    </row>
    <row r="14" spans="2:14" x14ac:dyDescent="0.3">
      <c r="B14" t="s">
        <v>87</v>
      </c>
      <c r="D14" s="3">
        <f>D12*D7</f>
        <v>0</v>
      </c>
      <c r="E14" s="3">
        <f t="shared" ref="E14:N14" ca="1" si="6">E12*E7</f>
        <v>20</v>
      </c>
      <c r="F14" s="3">
        <f t="shared" ca="1" si="6"/>
        <v>41</v>
      </c>
      <c r="G14" s="3">
        <f t="shared" ca="1" si="6"/>
        <v>63.050000000000004</v>
      </c>
      <c r="H14" s="3">
        <f t="shared" ca="1" si="6"/>
        <v>86.202500000000001</v>
      </c>
      <c r="I14" s="3">
        <f t="shared" ca="1" si="6"/>
        <v>110.51262500000001</v>
      </c>
      <c r="J14" s="3">
        <f t="shared" ca="1" si="6"/>
        <v>116.03825625</v>
      </c>
      <c r="K14" s="3">
        <f t="shared" ca="1" si="6"/>
        <v>121.8401690625</v>
      </c>
      <c r="L14" s="3">
        <f t="shared" ca="1" si="6"/>
        <v>127.932177515625</v>
      </c>
      <c r="M14" s="3">
        <f t="shared" ca="1" si="6"/>
        <v>134.32878639140625</v>
      </c>
      <c r="N14" s="3">
        <f t="shared" ca="1" si="6"/>
        <v>141.04522571097658</v>
      </c>
    </row>
    <row r="15" spans="2:14" x14ac:dyDescent="0.3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x14ac:dyDescent="0.3">
      <c r="B16" t="s">
        <v>88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 x14ac:dyDescent="0.3">
      <c r="B17" t="s">
        <v>77</v>
      </c>
      <c r="D17" s="3">
        <f>C20</f>
        <v>0</v>
      </c>
      <c r="E17" s="3">
        <f t="shared" ref="E17:N17" ca="1" si="7">D20</f>
        <v>0</v>
      </c>
      <c r="F17" s="3">
        <f t="shared" ca="1" si="7"/>
        <v>20</v>
      </c>
      <c r="G17" s="3">
        <f t="shared" ca="1" si="7"/>
        <v>61</v>
      </c>
      <c r="H17" s="3">
        <f t="shared" ca="1" si="7"/>
        <v>124.05000000000001</v>
      </c>
      <c r="I17" s="3">
        <f t="shared" ca="1" si="7"/>
        <v>210.2525</v>
      </c>
      <c r="J17" s="3">
        <f t="shared" ca="1" si="7"/>
        <v>220.76512500000001</v>
      </c>
      <c r="K17" s="3">
        <f t="shared" ca="1" si="7"/>
        <v>231.80338125000003</v>
      </c>
      <c r="L17" s="3">
        <f t="shared" ca="1" si="7"/>
        <v>243.3935503125</v>
      </c>
      <c r="M17" s="3">
        <f t="shared" ca="1" si="7"/>
        <v>255.56322782812498</v>
      </c>
      <c r="N17" s="3">
        <f t="shared" ca="1" si="7"/>
        <v>268.34138921953121</v>
      </c>
    </row>
    <row r="18" spans="2:14" x14ac:dyDescent="0.3">
      <c r="B18" t="s">
        <v>89</v>
      </c>
      <c r="D18" s="3">
        <f>D14</f>
        <v>0</v>
      </c>
      <c r="E18" s="3">
        <f t="shared" ref="E18:N18" ca="1" si="8">E14</f>
        <v>20</v>
      </c>
      <c r="F18" s="3">
        <f t="shared" ca="1" si="8"/>
        <v>41</v>
      </c>
      <c r="G18" s="3">
        <f t="shared" ca="1" si="8"/>
        <v>63.050000000000004</v>
      </c>
      <c r="H18" s="3">
        <f t="shared" ca="1" si="8"/>
        <v>86.202500000000001</v>
      </c>
      <c r="I18" s="3">
        <f t="shared" ca="1" si="8"/>
        <v>110.51262500000001</v>
      </c>
      <c r="J18" s="3">
        <f t="shared" ca="1" si="8"/>
        <v>116.03825625</v>
      </c>
      <c r="K18" s="3">
        <f t="shared" ca="1" si="8"/>
        <v>121.8401690625</v>
      </c>
      <c r="L18" s="3">
        <f t="shared" ca="1" si="8"/>
        <v>127.932177515625</v>
      </c>
      <c r="M18" s="3">
        <f t="shared" ca="1" si="8"/>
        <v>134.32878639140625</v>
      </c>
      <c r="N18" s="3">
        <f t="shared" ca="1" si="8"/>
        <v>141.04522571097658</v>
      </c>
    </row>
    <row r="19" spans="2:14" x14ac:dyDescent="0.3">
      <c r="B19" t="s">
        <v>90</v>
      </c>
      <c r="D19" s="3">
        <f ca="1">D9</f>
        <v>0</v>
      </c>
      <c r="E19" s="3">
        <f t="shared" ref="E19:N19" ca="1" si="9">E9</f>
        <v>0</v>
      </c>
      <c r="F19" s="3">
        <f t="shared" ca="1" si="9"/>
        <v>0</v>
      </c>
      <c r="G19" s="3">
        <f t="shared" ca="1" si="9"/>
        <v>0</v>
      </c>
      <c r="H19" s="3">
        <f t="shared" ca="1" si="9"/>
        <v>0</v>
      </c>
      <c r="I19" s="3">
        <f t="shared" ca="1" si="9"/>
        <v>100</v>
      </c>
      <c r="J19" s="3">
        <f t="shared" ca="1" si="9"/>
        <v>105</v>
      </c>
      <c r="K19" s="3">
        <f t="shared" ca="1" si="9"/>
        <v>110.25</v>
      </c>
      <c r="L19" s="3">
        <f t="shared" ca="1" si="9"/>
        <v>115.7625</v>
      </c>
      <c r="M19" s="3">
        <f t="shared" ca="1" si="9"/>
        <v>121.55062500000001</v>
      </c>
      <c r="N19" s="3">
        <f t="shared" ca="1" si="9"/>
        <v>127.62815625000002</v>
      </c>
    </row>
    <row r="20" spans="2:14" x14ac:dyDescent="0.3">
      <c r="B20" t="s">
        <v>79</v>
      </c>
      <c r="D20" s="3">
        <f ca="1">D17+D18-D19</f>
        <v>0</v>
      </c>
      <c r="E20" s="3">
        <f t="shared" ref="E20:N20" ca="1" si="10">E17+E18-E19</f>
        <v>20</v>
      </c>
      <c r="F20" s="3">
        <f t="shared" ca="1" si="10"/>
        <v>61</v>
      </c>
      <c r="G20" s="3">
        <f t="shared" ca="1" si="10"/>
        <v>124.05000000000001</v>
      </c>
      <c r="H20" s="3">
        <f t="shared" ca="1" si="10"/>
        <v>210.2525</v>
      </c>
      <c r="I20" s="3">
        <f t="shared" ca="1" si="10"/>
        <v>220.76512500000001</v>
      </c>
      <c r="J20" s="3">
        <f t="shared" ca="1" si="10"/>
        <v>231.80338125000003</v>
      </c>
      <c r="K20" s="3">
        <f t="shared" ca="1" si="10"/>
        <v>243.3935503125</v>
      </c>
      <c r="L20" s="3">
        <f t="shared" ca="1" si="10"/>
        <v>255.56322782812498</v>
      </c>
      <c r="M20" s="3">
        <f t="shared" ca="1" si="10"/>
        <v>268.34138921953121</v>
      </c>
      <c r="N20" s="3">
        <f t="shared" ca="1" si="10"/>
        <v>281.75845868050777</v>
      </c>
    </row>
    <row r="21" spans="2:14" x14ac:dyDescent="0.3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14" x14ac:dyDescent="0.3">
      <c r="B22" t="s">
        <v>91</v>
      </c>
      <c r="D22" s="3">
        <f ca="1">D10-D20</f>
        <v>100</v>
      </c>
      <c r="E22" s="3">
        <f t="shared" ref="E22:N22" ca="1" si="11">E10-E20</f>
        <v>185</v>
      </c>
      <c r="F22" s="3">
        <f t="shared" ca="1" si="11"/>
        <v>254.25</v>
      </c>
      <c r="G22" s="3">
        <f t="shared" ca="1" si="11"/>
        <v>306.96249999999998</v>
      </c>
      <c r="H22" s="3">
        <f t="shared" ca="1" si="11"/>
        <v>342.31062500000002</v>
      </c>
      <c r="I22" s="3">
        <f t="shared" ca="1" si="11"/>
        <v>359.42615624999996</v>
      </c>
      <c r="J22" s="3">
        <f t="shared" ca="1" si="11"/>
        <v>377.39746406249992</v>
      </c>
      <c r="K22" s="3">
        <f t="shared" ca="1" si="11"/>
        <v>396.26733726562497</v>
      </c>
      <c r="L22" s="3">
        <f t="shared" ca="1" si="11"/>
        <v>416.08070412890623</v>
      </c>
      <c r="M22" s="3">
        <f t="shared" ca="1" si="11"/>
        <v>436.88473933535164</v>
      </c>
      <c r="N22" s="3">
        <f t="shared" ca="1" si="11"/>
        <v>458.72897630211929</v>
      </c>
    </row>
    <row r="24" spans="2:14" x14ac:dyDescent="0.3">
      <c r="B24" t="s">
        <v>92</v>
      </c>
      <c r="E24" s="27">
        <f ca="1">E14/E4</f>
        <v>0.19047619047619047</v>
      </c>
      <c r="F24" s="27">
        <f t="shared" ref="F24:N24" ca="1" si="12">F14/F4</f>
        <v>0.37188208616780044</v>
      </c>
      <c r="G24" s="27">
        <f t="shared" ca="1" si="12"/>
        <v>0.54464960587409572</v>
      </c>
      <c r="H24" s="27">
        <f t="shared" ca="1" si="12"/>
        <v>0.70919010083247203</v>
      </c>
      <c r="I24" s="27">
        <f t="shared" ca="1" si="12"/>
        <v>0.86589533412616382</v>
      </c>
      <c r="J24" s="27">
        <f t="shared" ca="1" si="12"/>
        <v>0.86589533412616371</v>
      </c>
      <c r="K24" s="27">
        <f t="shared" ca="1" si="12"/>
        <v>0.8658953341261636</v>
      </c>
      <c r="L24" s="27">
        <f t="shared" ca="1" si="12"/>
        <v>0.86589533412616349</v>
      </c>
      <c r="M24" s="27">
        <f t="shared" ca="1" si="12"/>
        <v>0.86589533412616349</v>
      </c>
      <c r="N24" s="27">
        <f t="shared" ca="1" si="12"/>
        <v>0.8658953341261636</v>
      </c>
    </row>
    <row r="25" spans="2:14" x14ac:dyDescent="0.3">
      <c r="B25" t="s">
        <v>93</v>
      </c>
      <c r="E25" s="27">
        <f ca="1">E4/E14</f>
        <v>5.25</v>
      </c>
      <c r="F25" s="27">
        <f t="shared" ref="F25:N25" ca="1" si="13">F4/F14</f>
        <v>2.6890243902439024</v>
      </c>
      <c r="G25" s="27">
        <f t="shared" ca="1" si="13"/>
        <v>1.8360428231562251</v>
      </c>
      <c r="H25" s="27">
        <f t="shared" ca="1" si="13"/>
        <v>1.410059163017314</v>
      </c>
      <c r="I25" s="27">
        <f t="shared" ca="1" si="13"/>
        <v>1.1548739906413408</v>
      </c>
      <c r="J25" s="27">
        <f t="shared" ca="1" si="13"/>
        <v>1.154873990641341</v>
      </c>
      <c r="K25" s="27">
        <f t="shared" ca="1" si="13"/>
        <v>1.1548739906413412</v>
      </c>
      <c r="L25" s="27">
        <f t="shared" ca="1" si="13"/>
        <v>1.1548739906413412</v>
      </c>
      <c r="M25" s="27">
        <f t="shared" ca="1" si="13"/>
        <v>1.1548739906413412</v>
      </c>
      <c r="N25" s="27">
        <f t="shared" ca="1" si="13"/>
        <v>1.154873990641341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workbookViewId="0">
      <selection sqref="A1:A80"/>
    </sheetView>
  </sheetViews>
  <sheetFormatPr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  <row r="3" spans="1:1" x14ac:dyDescent="0.3">
      <c r="A3" t="s">
        <v>96</v>
      </c>
    </row>
    <row r="4" spans="1:1" x14ac:dyDescent="0.3">
      <c r="A4" t="s">
        <v>97</v>
      </c>
    </row>
    <row r="5" spans="1:1" x14ac:dyDescent="0.3">
      <c r="A5" t="s">
        <v>98</v>
      </c>
    </row>
    <row r="6" spans="1:1" x14ac:dyDescent="0.3">
      <c r="A6" t="s">
        <v>99</v>
      </c>
    </row>
    <row r="7" spans="1:1" x14ac:dyDescent="0.3">
      <c r="A7" t="s">
        <v>100</v>
      </c>
    </row>
    <row r="8" spans="1:1" x14ac:dyDescent="0.3">
      <c r="A8" t="s">
        <v>101</v>
      </c>
    </row>
    <row r="9" spans="1:1" x14ac:dyDescent="0.3">
      <c r="A9" t="s">
        <v>102</v>
      </c>
    </row>
    <row r="10" spans="1:1" x14ac:dyDescent="0.3">
      <c r="A10" t="s">
        <v>103</v>
      </c>
    </row>
    <row r="11" spans="1:1" x14ac:dyDescent="0.3">
      <c r="A11" t="s">
        <v>104</v>
      </c>
    </row>
    <row r="12" spans="1:1" x14ac:dyDescent="0.3">
      <c r="A12" t="s">
        <v>105</v>
      </c>
    </row>
    <row r="13" spans="1:1" x14ac:dyDescent="0.3">
      <c r="A13" t="s">
        <v>106</v>
      </c>
    </row>
    <row r="14" spans="1:1" x14ac:dyDescent="0.3">
      <c r="A14" t="s">
        <v>107</v>
      </c>
    </row>
    <row r="15" spans="1:1" x14ac:dyDescent="0.3">
      <c r="A15" t="s">
        <v>108</v>
      </c>
    </row>
    <row r="16" spans="1:1" x14ac:dyDescent="0.3">
      <c r="A16" t="s">
        <v>109</v>
      </c>
    </row>
    <row r="17" spans="1:1" x14ac:dyDescent="0.3">
      <c r="A17" t="s">
        <v>110</v>
      </c>
    </row>
    <row r="18" spans="1:1" x14ac:dyDescent="0.3">
      <c r="A18" t="s">
        <v>111</v>
      </c>
    </row>
    <row r="19" spans="1:1" x14ac:dyDescent="0.3">
      <c r="A19" t="s">
        <v>112</v>
      </c>
    </row>
    <row r="20" spans="1:1" x14ac:dyDescent="0.3">
      <c r="A20" t="s">
        <v>113</v>
      </c>
    </row>
    <row r="21" spans="1:1" x14ac:dyDescent="0.3">
      <c r="A21" t="s">
        <v>114</v>
      </c>
    </row>
    <row r="22" spans="1:1" x14ac:dyDescent="0.3">
      <c r="A22" t="s">
        <v>115</v>
      </c>
    </row>
    <row r="23" spans="1:1" x14ac:dyDescent="0.3">
      <c r="A23" t="s">
        <v>116</v>
      </c>
    </row>
    <row r="24" spans="1:1" x14ac:dyDescent="0.3">
      <c r="A24" t="s">
        <v>117</v>
      </c>
    </row>
    <row r="25" spans="1:1" x14ac:dyDescent="0.3">
      <c r="A25" t="s">
        <v>118</v>
      </c>
    </row>
    <row r="26" spans="1:1" x14ac:dyDescent="0.3">
      <c r="A26" t="s">
        <v>119</v>
      </c>
    </row>
    <row r="27" spans="1:1" x14ac:dyDescent="0.3">
      <c r="A27" t="s">
        <v>120</v>
      </c>
    </row>
    <row r="28" spans="1:1" x14ac:dyDescent="0.3">
      <c r="A28" t="s">
        <v>121</v>
      </c>
    </row>
    <row r="29" spans="1:1" x14ac:dyDescent="0.3">
      <c r="A29" t="s">
        <v>122</v>
      </c>
    </row>
    <row r="30" spans="1:1" x14ac:dyDescent="0.3">
      <c r="A30" t="s">
        <v>123</v>
      </c>
    </row>
    <row r="31" spans="1:1" x14ac:dyDescent="0.3">
      <c r="A31" t="s">
        <v>124</v>
      </c>
    </row>
    <row r="32" spans="1:1" x14ac:dyDescent="0.3">
      <c r="A32" t="s">
        <v>125</v>
      </c>
    </row>
    <row r="33" spans="1:1" x14ac:dyDescent="0.3">
      <c r="A33" t="s">
        <v>126</v>
      </c>
    </row>
    <row r="34" spans="1:1" x14ac:dyDescent="0.3">
      <c r="A34" t="s">
        <v>127</v>
      </c>
    </row>
    <row r="35" spans="1:1" x14ac:dyDescent="0.3">
      <c r="A35" t="s">
        <v>128</v>
      </c>
    </row>
    <row r="36" spans="1:1" x14ac:dyDescent="0.3">
      <c r="A36" t="s">
        <v>129</v>
      </c>
    </row>
    <row r="37" spans="1:1" x14ac:dyDescent="0.3">
      <c r="A37" t="s">
        <v>130</v>
      </c>
    </row>
    <row r="38" spans="1:1" x14ac:dyDescent="0.3">
      <c r="A38" t="s">
        <v>131</v>
      </c>
    </row>
    <row r="39" spans="1:1" x14ac:dyDescent="0.3">
      <c r="A39" t="s">
        <v>132</v>
      </c>
    </row>
    <row r="40" spans="1:1" x14ac:dyDescent="0.3">
      <c r="A40" t="s">
        <v>133</v>
      </c>
    </row>
    <row r="41" spans="1:1" x14ac:dyDescent="0.3">
      <c r="A41" t="s">
        <v>134</v>
      </c>
    </row>
    <row r="42" spans="1:1" x14ac:dyDescent="0.3">
      <c r="A42" t="s">
        <v>135</v>
      </c>
    </row>
    <row r="43" spans="1:1" x14ac:dyDescent="0.3">
      <c r="A43" t="s">
        <v>136</v>
      </c>
    </row>
    <row r="44" spans="1:1" x14ac:dyDescent="0.3">
      <c r="A44">
        <v>9</v>
      </c>
    </row>
    <row r="45" spans="1:1" x14ac:dyDescent="0.3">
      <c r="A45" t="s">
        <v>137</v>
      </c>
    </row>
    <row r="46" spans="1:1" x14ac:dyDescent="0.3">
      <c r="A46" t="s">
        <v>138</v>
      </c>
    </row>
    <row r="47" spans="1:1" x14ac:dyDescent="0.3">
      <c r="A47" t="s">
        <v>139</v>
      </c>
    </row>
    <row r="48" spans="1:1" x14ac:dyDescent="0.3">
      <c r="A48" t="s">
        <v>140</v>
      </c>
    </row>
    <row r="49" spans="1:1" x14ac:dyDescent="0.3">
      <c r="A49" t="s">
        <v>141</v>
      </c>
    </row>
    <row r="50" spans="1:1" x14ac:dyDescent="0.3">
      <c r="A50" t="s">
        <v>142</v>
      </c>
    </row>
    <row r="51" spans="1:1" x14ac:dyDescent="0.3">
      <c r="A51" t="s">
        <v>143</v>
      </c>
    </row>
    <row r="52" spans="1:1" x14ac:dyDescent="0.3">
      <c r="A52" t="s">
        <v>144</v>
      </c>
    </row>
    <row r="53" spans="1:1" x14ac:dyDescent="0.3">
      <c r="A53" t="s">
        <v>145</v>
      </c>
    </row>
    <row r="54" spans="1:1" x14ac:dyDescent="0.3">
      <c r="A54" t="s">
        <v>146</v>
      </c>
    </row>
    <row r="55" spans="1:1" x14ac:dyDescent="0.3">
      <c r="A55" t="s">
        <v>147</v>
      </c>
    </row>
    <row r="56" spans="1:1" x14ac:dyDescent="0.3">
      <c r="A56" t="s">
        <v>148</v>
      </c>
    </row>
    <row r="57" spans="1:1" x14ac:dyDescent="0.3">
      <c r="A57" t="s">
        <v>149</v>
      </c>
    </row>
    <row r="58" spans="1:1" x14ac:dyDescent="0.3">
      <c r="A58" t="s">
        <v>150</v>
      </c>
    </row>
    <row r="59" spans="1:1" x14ac:dyDescent="0.3">
      <c r="A59" t="s">
        <v>151</v>
      </c>
    </row>
    <row r="60" spans="1:1" x14ac:dyDescent="0.3">
      <c r="A60" t="s">
        <v>152</v>
      </c>
    </row>
    <row r="61" spans="1:1" x14ac:dyDescent="0.3">
      <c r="A61" t="s">
        <v>153</v>
      </c>
    </row>
    <row r="62" spans="1:1" x14ac:dyDescent="0.3">
      <c r="A62" t="s">
        <v>154</v>
      </c>
    </row>
    <row r="63" spans="1:1" x14ac:dyDescent="0.3">
      <c r="A63" t="s">
        <v>155</v>
      </c>
    </row>
    <row r="64" spans="1:1" x14ac:dyDescent="0.3">
      <c r="A64" t="s">
        <v>156</v>
      </c>
    </row>
    <row r="65" spans="1:1" x14ac:dyDescent="0.3">
      <c r="A65" t="s">
        <v>157</v>
      </c>
    </row>
    <row r="66" spans="1:1" x14ac:dyDescent="0.3">
      <c r="A66" t="s">
        <v>158</v>
      </c>
    </row>
    <row r="67" spans="1:1" x14ac:dyDescent="0.3">
      <c r="A67" t="s">
        <v>159</v>
      </c>
    </row>
    <row r="68" spans="1:1" x14ac:dyDescent="0.3">
      <c r="A68" t="s">
        <v>160</v>
      </c>
    </row>
    <row r="69" spans="1:1" x14ac:dyDescent="0.3">
      <c r="A69" t="s">
        <v>161</v>
      </c>
    </row>
    <row r="70" spans="1:1" x14ac:dyDescent="0.3">
      <c r="A70" t="s">
        <v>162</v>
      </c>
    </row>
    <row r="71" spans="1:1" x14ac:dyDescent="0.3">
      <c r="A71" t="s">
        <v>163</v>
      </c>
    </row>
    <row r="72" spans="1:1" x14ac:dyDescent="0.3">
      <c r="A72" t="s">
        <v>164</v>
      </c>
    </row>
    <row r="73" spans="1:1" x14ac:dyDescent="0.3">
      <c r="A73" t="s">
        <v>165</v>
      </c>
    </row>
    <row r="74" spans="1:1" x14ac:dyDescent="0.3">
      <c r="A74" t="s">
        <v>166</v>
      </c>
    </row>
    <row r="75" spans="1:1" x14ac:dyDescent="0.3">
      <c r="A75" t="s">
        <v>167</v>
      </c>
    </row>
    <row r="76" spans="1:1" x14ac:dyDescent="0.3">
      <c r="A76" t="s">
        <v>168</v>
      </c>
    </row>
    <row r="77" spans="1:1" x14ac:dyDescent="0.3">
      <c r="A77" t="s">
        <v>169</v>
      </c>
    </row>
    <row r="78" spans="1:1" x14ac:dyDescent="0.3">
      <c r="A78" t="s">
        <v>52</v>
      </c>
    </row>
    <row r="79" spans="1:1" x14ac:dyDescent="0.3">
      <c r="A79" t="s">
        <v>170</v>
      </c>
    </row>
    <row r="80" spans="1:1" x14ac:dyDescent="0.3">
      <c r="A80" t="s">
        <v>171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21" workbookViewId="0">
      <selection activeCell="H24" sqref="H24"/>
    </sheetView>
  </sheetViews>
  <sheetFormatPr defaultRowHeight="14.4" x14ac:dyDescent="0.3"/>
  <cols>
    <col min="1" max="1" width="48.88671875" customWidth="1"/>
    <col min="2" max="2" width="16.44140625" customWidth="1"/>
    <col min="3" max="3" width="10.5546875" bestFit="1" customWidth="1"/>
    <col min="4" max="4" width="10.6640625" bestFit="1" customWidth="1"/>
    <col min="5" max="5" width="10.5546875" bestFit="1" customWidth="1"/>
    <col min="6" max="6" width="10.6640625" bestFit="1" customWidth="1"/>
  </cols>
  <sheetData>
    <row r="1" spans="1:6" x14ac:dyDescent="0.3">
      <c r="A1" t="s">
        <v>94</v>
      </c>
    </row>
    <row r="2" spans="1:6" x14ac:dyDescent="0.3">
      <c r="A2" s="17" t="s">
        <v>173</v>
      </c>
      <c r="B2" s="17"/>
      <c r="C2" s="17">
        <v>10229921</v>
      </c>
      <c r="D2" s="17">
        <v>5890214</v>
      </c>
      <c r="E2" s="17">
        <v>8765999</v>
      </c>
      <c r="F2" s="17">
        <v>5047313</v>
      </c>
    </row>
    <row r="3" spans="1:6" x14ac:dyDescent="0.3">
      <c r="A3" t="s">
        <v>96</v>
      </c>
    </row>
    <row r="4" spans="1:6" x14ac:dyDescent="0.3">
      <c r="A4" t="s">
        <v>97</v>
      </c>
    </row>
    <row r="5" spans="1:6" s="5" customFormat="1" x14ac:dyDescent="0.3">
      <c r="A5" s="5" t="s">
        <v>174</v>
      </c>
      <c r="C5" s="5">
        <v>11159446</v>
      </c>
      <c r="D5" s="5">
        <v>10095191</v>
      </c>
      <c r="E5" s="5">
        <v>9562507</v>
      </c>
      <c r="F5" s="5">
        <v>8650549</v>
      </c>
    </row>
    <row r="6" spans="1:6" s="5" customFormat="1" x14ac:dyDescent="0.3">
      <c r="A6" s="5" t="s">
        <v>175</v>
      </c>
      <c r="C6" s="5">
        <v>645440</v>
      </c>
      <c r="D6" s="5">
        <v>543980</v>
      </c>
      <c r="E6" s="5">
        <v>553076</v>
      </c>
      <c r="F6" s="5">
        <v>466135</v>
      </c>
    </row>
    <row r="7" spans="1:6" s="5" customFormat="1" x14ac:dyDescent="0.3">
      <c r="A7" s="5" t="s">
        <v>176</v>
      </c>
      <c r="C7" s="5">
        <v>337075</v>
      </c>
      <c r="D7" s="5">
        <v>532429</v>
      </c>
      <c r="E7" s="5">
        <v>288839</v>
      </c>
      <c r="F7" s="5">
        <v>456237</v>
      </c>
    </row>
    <row r="8" spans="1:6" s="5" customFormat="1" x14ac:dyDescent="0.3">
      <c r="A8" s="5" t="s">
        <v>194</v>
      </c>
      <c r="C8" s="5">
        <v>120676</v>
      </c>
      <c r="D8" s="5">
        <v>62292</v>
      </c>
      <c r="E8" s="5">
        <v>103407</v>
      </c>
      <c r="F8" s="5">
        <v>53378</v>
      </c>
    </row>
    <row r="9" spans="1:6" s="5" customFormat="1" x14ac:dyDescent="0.3">
      <c r="A9" s="5" t="s">
        <v>195</v>
      </c>
      <c r="C9" s="5">
        <v>-66636</v>
      </c>
      <c r="D9" s="5">
        <v>-110962</v>
      </c>
      <c r="E9" s="5">
        <v>-57100</v>
      </c>
      <c r="F9" s="5">
        <v>-95083</v>
      </c>
    </row>
    <row r="10" spans="1:6" s="5" customFormat="1" x14ac:dyDescent="0.3">
      <c r="A10" s="5" t="s">
        <v>177</v>
      </c>
      <c r="C10" s="5">
        <v>1059493</v>
      </c>
      <c r="D10" s="5">
        <v>1070358</v>
      </c>
      <c r="E10" s="5">
        <v>907877</v>
      </c>
      <c r="F10" s="5">
        <v>917188</v>
      </c>
    </row>
    <row r="11" spans="1:6" s="5" customFormat="1" x14ac:dyDescent="0.3">
      <c r="A11" s="5" t="s">
        <v>178</v>
      </c>
      <c r="C11" s="5">
        <v>-1347894</v>
      </c>
      <c r="D11" s="5">
        <v>-447885</v>
      </c>
      <c r="E11" s="5">
        <v>-1155008</v>
      </c>
      <c r="F11" s="5">
        <v>-383792</v>
      </c>
    </row>
    <row r="12" spans="1:6" s="5" customFormat="1" x14ac:dyDescent="0.3">
      <c r="A12" s="5" t="s">
        <v>196</v>
      </c>
      <c r="C12" s="5">
        <v>121702</v>
      </c>
      <c r="D12" s="5">
        <v>209357</v>
      </c>
      <c r="E12" s="5">
        <v>104286</v>
      </c>
      <c r="F12" s="5">
        <v>179398</v>
      </c>
    </row>
    <row r="13" spans="1:6" s="5" customFormat="1" x14ac:dyDescent="0.3">
      <c r="A13" s="5" t="s">
        <v>197</v>
      </c>
      <c r="C13" s="5">
        <v>-943339</v>
      </c>
      <c r="D13" s="5">
        <v>-748398</v>
      </c>
      <c r="E13" s="5">
        <v>-808345</v>
      </c>
      <c r="F13" s="5">
        <v>-641301</v>
      </c>
    </row>
    <row r="14" spans="1:6" s="5" customFormat="1" x14ac:dyDescent="0.3">
      <c r="A14" s="5" t="s">
        <v>179</v>
      </c>
      <c r="C14" s="5">
        <v>-13633</v>
      </c>
      <c r="D14" s="5">
        <v>-500435</v>
      </c>
      <c r="E14" s="5">
        <v>-11682</v>
      </c>
      <c r="F14" s="5">
        <v>-428822</v>
      </c>
    </row>
    <row r="15" spans="1:6" s="5" customFormat="1" x14ac:dyDescent="0.3">
      <c r="A15" s="5" t="s">
        <v>172</v>
      </c>
      <c r="C15" s="5">
        <v>1385560</v>
      </c>
      <c r="D15" s="5">
        <v>1289732</v>
      </c>
      <c r="E15" s="5">
        <v>1187284</v>
      </c>
      <c r="F15" s="5">
        <v>1105169</v>
      </c>
    </row>
    <row r="16" spans="1:6" s="5" customFormat="1" x14ac:dyDescent="0.3">
      <c r="A16" s="18" t="s">
        <v>21</v>
      </c>
      <c r="B16" s="18"/>
      <c r="C16" s="18">
        <v>22687811</v>
      </c>
      <c r="D16" s="18">
        <v>17885873</v>
      </c>
      <c r="E16" s="18">
        <v>19441140</v>
      </c>
      <c r="F16" s="18">
        <v>15326369</v>
      </c>
    </row>
    <row r="17" spans="1:8" x14ac:dyDescent="0.3">
      <c r="A17" t="s">
        <v>114</v>
      </c>
    </row>
    <row r="18" spans="1:8" s="5" customFormat="1" x14ac:dyDescent="0.3">
      <c r="A18" s="5" t="s">
        <v>198</v>
      </c>
      <c r="C18" s="5">
        <v>-6227873</v>
      </c>
      <c r="D18" s="5">
        <v>-86180</v>
      </c>
      <c r="E18" s="5">
        <v>-5336652</v>
      </c>
      <c r="F18" s="5">
        <v>-73847</v>
      </c>
    </row>
    <row r="19" spans="1:8" s="5" customFormat="1" x14ac:dyDescent="0.3">
      <c r="A19" s="5" t="s">
        <v>180</v>
      </c>
      <c r="C19" s="5">
        <v>-1092243</v>
      </c>
      <c r="D19" s="5">
        <v>-693712</v>
      </c>
      <c r="E19" s="5">
        <v>-935941</v>
      </c>
      <c r="F19" s="5">
        <v>-594440</v>
      </c>
    </row>
    <row r="20" spans="1:8" s="5" customFormat="1" x14ac:dyDescent="0.3">
      <c r="A20" s="5" t="s">
        <v>181</v>
      </c>
      <c r="C20" s="5">
        <v>915952</v>
      </c>
      <c r="D20" s="5">
        <v>-1313573</v>
      </c>
      <c r="E20" s="5">
        <v>784877</v>
      </c>
      <c r="F20" s="5">
        <v>-1125598</v>
      </c>
    </row>
    <row r="21" spans="1:8" s="5" customFormat="1" x14ac:dyDescent="0.3">
      <c r="A21" s="5" t="s">
        <v>199</v>
      </c>
      <c r="C21" s="5">
        <v>3474003</v>
      </c>
      <c r="D21" s="5">
        <v>-1514400</v>
      </c>
      <c r="E21" s="5">
        <v>2976866</v>
      </c>
      <c r="F21" s="5">
        <v>-1297686</v>
      </c>
    </row>
    <row r="22" spans="1:8" s="5" customFormat="1" x14ac:dyDescent="0.3">
      <c r="A22" s="5" t="s">
        <v>182</v>
      </c>
      <c r="C22" s="5">
        <v>1051084</v>
      </c>
      <c r="D22" s="5">
        <v>-207881</v>
      </c>
      <c r="E22" s="5">
        <v>900672</v>
      </c>
      <c r="F22" s="5">
        <v>-178133</v>
      </c>
    </row>
    <row r="23" spans="1:8" s="5" customFormat="1" x14ac:dyDescent="0.3">
      <c r="A23" s="5" t="s">
        <v>183</v>
      </c>
      <c r="C23" s="5">
        <v>499800</v>
      </c>
      <c r="D23" s="5">
        <v>-751619</v>
      </c>
      <c r="E23" s="5">
        <v>428278</v>
      </c>
      <c r="F23" s="5">
        <v>-644061</v>
      </c>
      <c r="H23" s="5" t="s">
        <v>363</v>
      </c>
    </row>
    <row r="24" spans="1:8" s="5" customFormat="1" x14ac:dyDescent="0.3">
      <c r="A24" s="5" t="s">
        <v>184</v>
      </c>
      <c r="C24" s="5">
        <v>-520020</v>
      </c>
      <c r="D24" s="5">
        <v>-301887</v>
      </c>
      <c r="E24" s="5">
        <v>-445604</v>
      </c>
      <c r="F24" s="5">
        <v>-258686</v>
      </c>
    </row>
    <row r="25" spans="1:8" s="5" customFormat="1" x14ac:dyDescent="0.3">
      <c r="A25" s="5" t="s">
        <v>185</v>
      </c>
      <c r="C25" s="5">
        <v>519200</v>
      </c>
      <c r="D25" s="5">
        <v>408324</v>
      </c>
      <c r="E25" s="5">
        <v>444901</v>
      </c>
      <c r="F25" s="5">
        <v>349892</v>
      </c>
    </row>
    <row r="26" spans="1:8" s="5" customFormat="1" x14ac:dyDescent="0.3">
      <c r="A26" s="5" t="s">
        <v>215</v>
      </c>
      <c r="C26" s="5">
        <v>-1651924</v>
      </c>
      <c r="D26" s="5">
        <v>-64870</v>
      </c>
      <c r="E26" s="5">
        <v>-1415529</v>
      </c>
      <c r="F26" s="5">
        <v>-55588</v>
      </c>
    </row>
    <row r="27" spans="1:8" s="5" customFormat="1" x14ac:dyDescent="0.3">
      <c r="A27" s="18" t="s">
        <v>186</v>
      </c>
      <c r="B27" s="18"/>
      <c r="C27" s="18">
        <v>19655790</v>
      </c>
      <c r="D27" s="18">
        <v>13360075</v>
      </c>
      <c r="E27" s="18">
        <v>16843008</v>
      </c>
      <c r="F27" s="18">
        <v>11448222</v>
      </c>
    </row>
    <row r="28" spans="1:8" s="5" customFormat="1" x14ac:dyDescent="0.3">
      <c r="A28" s="28"/>
      <c r="B28" s="28"/>
      <c r="C28" s="28"/>
      <c r="D28" s="28"/>
      <c r="E28" s="28"/>
      <c r="F28" s="28"/>
    </row>
    <row r="29" spans="1:8" s="5" customFormat="1" x14ac:dyDescent="0.3">
      <c r="A29" s="28"/>
      <c r="B29" s="28" t="s">
        <v>219</v>
      </c>
      <c r="C29" s="29">
        <v>2009</v>
      </c>
      <c r="D29" s="29">
        <v>2008</v>
      </c>
      <c r="E29" s="28"/>
      <c r="F29" s="28"/>
    </row>
    <row r="30" spans="1:8" x14ac:dyDescent="0.3">
      <c r="A30" t="s">
        <v>127</v>
      </c>
    </row>
    <row r="31" spans="1:8" s="5" customFormat="1" x14ac:dyDescent="0.3">
      <c r="A31" s="5" t="s">
        <v>200</v>
      </c>
      <c r="B31" s="5">
        <v>0</v>
      </c>
      <c r="C31" s="5">
        <v>-5057503</v>
      </c>
      <c r="D31" s="5">
        <v>1445781</v>
      </c>
      <c r="E31" s="5">
        <v>-4333764</v>
      </c>
      <c r="F31" s="5">
        <v>1238887</v>
      </c>
    </row>
    <row r="32" spans="1:8" s="5" customFormat="1" x14ac:dyDescent="0.3">
      <c r="A32" s="5" t="s">
        <v>201</v>
      </c>
      <c r="B32" s="5">
        <v>0</v>
      </c>
      <c r="C32" s="5">
        <v>2673309</v>
      </c>
      <c r="D32" s="5">
        <v>3576436</v>
      </c>
      <c r="E32" s="5">
        <v>2290753</v>
      </c>
      <c r="F32" s="5">
        <v>3064641</v>
      </c>
    </row>
    <row r="33" spans="1:6" s="5" customFormat="1" x14ac:dyDescent="0.3">
      <c r="A33" s="5" t="s">
        <v>202</v>
      </c>
      <c r="B33" s="5">
        <v>0</v>
      </c>
      <c r="C33" s="5">
        <v>-3774993</v>
      </c>
      <c r="D33" s="5">
        <v>-3580000</v>
      </c>
      <c r="E33" s="5">
        <v>-3234784</v>
      </c>
      <c r="F33" s="5">
        <v>-3067695</v>
      </c>
    </row>
    <row r="34" spans="1:6" s="5" customFormat="1" x14ac:dyDescent="0.3">
      <c r="A34" s="5" t="s">
        <v>218</v>
      </c>
      <c r="B34" s="5">
        <v>0</v>
      </c>
      <c r="C34" s="5">
        <v>68108</v>
      </c>
      <c r="D34" s="5">
        <v>-506178</v>
      </c>
      <c r="E34" s="5">
        <v>58362</v>
      </c>
      <c r="F34" s="5">
        <v>-433743</v>
      </c>
    </row>
    <row r="35" spans="1:6" s="5" customFormat="1" x14ac:dyDescent="0.3">
      <c r="A35" s="5" t="s">
        <v>203</v>
      </c>
      <c r="B35" s="5">
        <v>1</v>
      </c>
      <c r="C35" s="5">
        <v>112379</v>
      </c>
      <c r="D35" s="5">
        <v>295287</v>
      </c>
      <c r="E35" s="5">
        <v>96297</v>
      </c>
      <c r="F35" s="5">
        <v>253031</v>
      </c>
    </row>
    <row r="36" spans="1:6" s="5" customFormat="1" x14ac:dyDescent="0.3">
      <c r="A36" s="5" t="s">
        <v>187</v>
      </c>
      <c r="B36" s="5">
        <v>1</v>
      </c>
      <c r="C36" s="5">
        <v>-8182197</v>
      </c>
      <c r="D36" s="5">
        <v>-14088184</v>
      </c>
      <c r="E36" s="5">
        <v>-7011308</v>
      </c>
      <c r="F36" s="5">
        <v>-12072137</v>
      </c>
    </row>
    <row r="37" spans="1:6" s="5" customFormat="1" x14ac:dyDescent="0.3">
      <c r="A37" s="5" t="s">
        <v>204</v>
      </c>
      <c r="B37" s="5">
        <v>0</v>
      </c>
      <c r="C37" s="5">
        <v>114961</v>
      </c>
      <c r="D37" s="5">
        <v>188332</v>
      </c>
      <c r="E37" s="5">
        <v>98510</v>
      </c>
      <c r="F37" s="5">
        <v>161381</v>
      </c>
    </row>
    <row r="38" spans="1:6" s="5" customFormat="1" x14ac:dyDescent="0.3">
      <c r="A38" s="5" t="s">
        <v>205</v>
      </c>
      <c r="B38" s="5">
        <v>0</v>
      </c>
      <c r="C38" s="5">
        <v>28901</v>
      </c>
      <c r="D38" s="5">
        <v>31234</v>
      </c>
      <c r="E38" s="5">
        <v>24765</v>
      </c>
      <c r="F38" s="5">
        <v>26764</v>
      </c>
    </row>
    <row r="39" spans="1:6" s="5" customFormat="1" x14ac:dyDescent="0.3">
      <c r="A39" s="5" t="s">
        <v>206</v>
      </c>
      <c r="B39" s="5">
        <v>1</v>
      </c>
      <c r="C39" s="5">
        <v>44832</v>
      </c>
      <c r="D39" s="5">
        <v>16682</v>
      </c>
      <c r="E39" s="5">
        <v>38416</v>
      </c>
      <c r="F39" s="5">
        <v>14295</v>
      </c>
    </row>
    <row r="40" spans="1:6" s="5" customFormat="1" x14ac:dyDescent="0.3">
      <c r="A40" s="5" t="s">
        <v>207</v>
      </c>
      <c r="B40" s="5">
        <v>1</v>
      </c>
      <c r="C40" s="5">
        <v>-69804</v>
      </c>
      <c r="D40" s="5">
        <v>-12602</v>
      </c>
      <c r="E40" s="5">
        <v>-59815</v>
      </c>
      <c r="F40" s="5">
        <v>-10799</v>
      </c>
    </row>
    <row r="41" spans="1:6" s="5" customFormat="1" x14ac:dyDescent="0.3">
      <c r="A41" s="5" t="s">
        <v>188</v>
      </c>
      <c r="B41" s="5">
        <v>1</v>
      </c>
      <c r="C41" s="5">
        <v>-261539</v>
      </c>
      <c r="D41" s="5">
        <v>0</v>
      </c>
      <c r="E41" s="5">
        <v>-224112</v>
      </c>
      <c r="F41" s="5">
        <v>0</v>
      </c>
    </row>
    <row r="42" spans="1:6" s="5" customFormat="1" x14ac:dyDescent="0.3">
      <c r="A42" s="5" t="s">
        <v>216</v>
      </c>
      <c r="B42" s="5">
        <v>1</v>
      </c>
      <c r="C42" s="5">
        <v>-120555</v>
      </c>
      <c r="D42" s="5">
        <v>-495212</v>
      </c>
      <c r="E42" s="5">
        <v>-103304</v>
      </c>
      <c r="F42" s="5">
        <v>-424346</v>
      </c>
    </row>
    <row r="43" spans="1:6" s="5" customFormat="1" x14ac:dyDescent="0.3">
      <c r="A43" s="18" t="s">
        <v>189</v>
      </c>
      <c r="B43" s="18"/>
      <c r="C43" s="18">
        <v>-14424101</v>
      </c>
      <c r="D43" s="18">
        <v>-13128424</v>
      </c>
      <c r="E43" s="18">
        <v>-12359984</v>
      </c>
      <c r="F43" s="18">
        <v>-11249721</v>
      </c>
    </row>
    <row r="44" spans="1:6" s="5" customFormat="1" x14ac:dyDescent="0.3">
      <c r="A44" s="28"/>
      <c r="B44" s="28"/>
      <c r="C44" s="28"/>
      <c r="D44" s="28"/>
      <c r="E44" s="28"/>
      <c r="F44" s="28"/>
    </row>
    <row r="45" spans="1:6" s="5" customFormat="1" x14ac:dyDescent="0.3">
      <c r="A45" s="28"/>
      <c r="B45" s="28"/>
      <c r="C45" s="28"/>
      <c r="D45" s="28"/>
      <c r="E45" s="28"/>
      <c r="F45" s="28"/>
    </row>
    <row r="46" spans="1:6" s="5" customFormat="1" x14ac:dyDescent="0.3">
      <c r="A46" s="5" t="s">
        <v>208</v>
      </c>
      <c r="C46" s="5">
        <v>-871173</v>
      </c>
      <c r="D46" s="5">
        <v>-1315486</v>
      </c>
      <c r="E46" s="5">
        <v>-746506</v>
      </c>
      <c r="F46" s="5">
        <v>-1127237</v>
      </c>
    </row>
    <row r="47" spans="1:6" s="5" customFormat="1" x14ac:dyDescent="0.3">
      <c r="A47" s="18" t="s">
        <v>209</v>
      </c>
      <c r="B47" s="18"/>
      <c r="C47" s="18">
        <v>-976336</v>
      </c>
      <c r="D47" s="18">
        <v>668383</v>
      </c>
      <c r="E47" s="18">
        <v>-836620</v>
      </c>
      <c r="F47" s="18">
        <v>572736</v>
      </c>
    </row>
    <row r="48" spans="1:6" s="5" customFormat="1" x14ac:dyDescent="0.3">
      <c r="A48" s="5" t="s">
        <v>210</v>
      </c>
      <c r="C48" s="5">
        <v>-2367129</v>
      </c>
      <c r="D48" s="5">
        <v>-1826860</v>
      </c>
      <c r="E48" s="5">
        <v>-2028388</v>
      </c>
      <c r="F48" s="5">
        <v>-1565433</v>
      </c>
    </row>
    <row r="49" spans="1:6" s="5" customFormat="1" x14ac:dyDescent="0.3">
      <c r="A49" s="5" t="s">
        <v>190</v>
      </c>
      <c r="C49" s="5">
        <v>-675677</v>
      </c>
      <c r="D49" s="5">
        <v>-415275</v>
      </c>
      <c r="E49" s="5">
        <v>-578986</v>
      </c>
      <c r="F49" s="5">
        <v>-355848</v>
      </c>
    </row>
    <row r="50" spans="1:6" s="5" customFormat="1" x14ac:dyDescent="0.3">
      <c r="A50" s="5" t="s">
        <v>191</v>
      </c>
      <c r="C50" s="5">
        <v>940960</v>
      </c>
      <c r="D50" s="5">
        <v>4346404</v>
      </c>
      <c r="E50" s="5">
        <v>806307</v>
      </c>
      <c r="F50" s="5">
        <v>3724425</v>
      </c>
    </row>
    <row r="51" spans="1:6" s="5" customFormat="1" x14ac:dyDescent="0.3">
      <c r="A51" s="5" t="s">
        <v>217</v>
      </c>
      <c r="C51" s="5">
        <v>1016</v>
      </c>
      <c r="D51" s="5">
        <v>477055</v>
      </c>
      <c r="E51" s="5">
        <v>869</v>
      </c>
      <c r="F51" s="5">
        <v>408787</v>
      </c>
    </row>
    <row r="52" spans="1:6" s="5" customFormat="1" x14ac:dyDescent="0.3">
      <c r="A52" s="18" t="s">
        <v>211</v>
      </c>
      <c r="B52" s="18"/>
      <c r="C52" s="18">
        <v>-3948339</v>
      </c>
      <c r="D52" s="18">
        <v>1934221</v>
      </c>
      <c r="E52" s="18">
        <v>-3383324</v>
      </c>
      <c r="F52" s="18">
        <v>1657430</v>
      </c>
    </row>
    <row r="53" spans="1:6" s="5" customFormat="1" x14ac:dyDescent="0.3">
      <c r="A53" s="5" t="s">
        <v>212</v>
      </c>
      <c r="C53" s="5">
        <v>440958</v>
      </c>
      <c r="D53" s="5">
        <v>813514</v>
      </c>
      <c r="E53" s="5">
        <v>377856</v>
      </c>
      <c r="F53" s="5">
        <v>697099</v>
      </c>
    </row>
    <row r="54" spans="1:6" s="5" customFormat="1" x14ac:dyDescent="0.3">
      <c r="A54" s="11" t="s">
        <v>213</v>
      </c>
      <c r="B54" s="11"/>
      <c r="C54" s="11">
        <v>296947</v>
      </c>
      <c r="D54" s="11">
        <v>3263</v>
      </c>
      <c r="E54" s="11">
        <v>254453</v>
      </c>
      <c r="F54" s="11">
        <v>2796</v>
      </c>
    </row>
    <row r="55" spans="1:6" s="5" customFormat="1" x14ac:dyDescent="0.3">
      <c r="A55" s="18" t="s">
        <v>192</v>
      </c>
      <c r="B55" s="18"/>
      <c r="C55" s="18">
        <v>2021255</v>
      </c>
      <c r="D55" s="18">
        <v>2982649</v>
      </c>
      <c r="E55" s="18">
        <v>1732009</v>
      </c>
      <c r="F55" s="18">
        <v>2555826</v>
      </c>
    </row>
    <row r="56" spans="1:6" s="5" customFormat="1" x14ac:dyDescent="0.3">
      <c r="A56" s="5" t="s">
        <v>214</v>
      </c>
      <c r="C56" s="5">
        <v>8814638</v>
      </c>
      <c r="D56" s="5">
        <v>5831989</v>
      </c>
      <c r="E56" s="5">
        <v>7553246</v>
      </c>
      <c r="F56" s="5">
        <v>4997420</v>
      </c>
    </row>
    <row r="57" spans="1:6" s="5" customFormat="1" x14ac:dyDescent="0.3">
      <c r="A57" s="5" t="s">
        <v>193</v>
      </c>
      <c r="C57" s="5">
        <v>10835893</v>
      </c>
      <c r="D57" s="5">
        <v>8814638</v>
      </c>
      <c r="E57" s="5">
        <v>9285255</v>
      </c>
      <c r="F57" s="5">
        <v>7553246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3"/>
  <sheetViews>
    <sheetView topLeftCell="A3" workbookViewId="0">
      <selection activeCell="B3" sqref="B3"/>
    </sheetView>
  </sheetViews>
  <sheetFormatPr defaultRowHeight="14.4" x14ac:dyDescent="0.3"/>
  <cols>
    <col min="2" max="2" width="22.6640625" customWidth="1"/>
  </cols>
  <sheetData>
    <row r="2" spans="2:18" x14ac:dyDescent="0.3">
      <c r="B2" t="s">
        <v>82</v>
      </c>
      <c r="C2">
        <v>10</v>
      </c>
    </row>
    <row r="3" spans="2:18" x14ac:dyDescent="0.3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  <c r="P3">
        <v>13</v>
      </c>
      <c r="Q3">
        <v>14</v>
      </c>
      <c r="R3">
        <v>15</v>
      </c>
    </row>
    <row r="4" spans="2:18" x14ac:dyDescent="0.3">
      <c r="B4" t="s">
        <v>81</v>
      </c>
      <c r="D4" s="3">
        <v>100</v>
      </c>
      <c r="E4" s="3">
        <v>100</v>
      </c>
      <c r="F4" s="3">
        <v>100</v>
      </c>
      <c r="G4" s="3">
        <v>100</v>
      </c>
      <c r="H4" s="3">
        <v>100</v>
      </c>
      <c r="I4" s="3">
        <v>100</v>
      </c>
      <c r="J4" s="3">
        <v>100</v>
      </c>
      <c r="K4" s="3">
        <v>100</v>
      </c>
      <c r="L4" s="3">
        <v>100</v>
      </c>
      <c r="M4" s="3">
        <v>100</v>
      </c>
      <c r="N4" s="3">
        <v>100</v>
      </c>
      <c r="O4" s="3">
        <v>100</v>
      </c>
      <c r="P4" s="3">
        <v>100</v>
      </c>
      <c r="Q4" s="3">
        <v>100</v>
      </c>
      <c r="R4" s="3">
        <v>100</v>
      </c>
    </row>
    <row r="5" spans="2:18" x14ac:dyDescent="0.3">
      <c r="B5" t="s">
        <v>83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x14ac:dyDescent="0.3">
      <c r="B6" t="s">
        <v>77</v>
      </c>
      <c r="D6" s="3">
        <f>C9</f>
        <v>0</v>
      </c>
      <c r="E6" s="3">
        <f t="shared" ref="E6:N6" ca="1" si="0">D9</f>
        <v>100</v>
      </c>
      <c r="F6" s="3">
        <f t="shared" ca="1" si="0"/>
        <v>200</v>
      </c>
      <c r="G6" s="3">
        <f t="shared" ca="1" si="0"/>
        <v>300</v>
      </c>
      <c r="H6" s="3">
        <f t="shared" ca="1" si="0"/>
        <v>400</v>
      </c>
      <c r="I6" s="3">
        <f t="shared" ca="1" si="0"/>
        <v>500</v>
      </c>
      <c r="J6" s="3">
        <f t="shared" ca="1" si="0"/>
        <v>600</v>
      </c>
      <c r="K6" s="3">
        <f t="shared" ca="1" si="0"/>
        <v>700</v>
      </c>
      <c r="L6" s="3">
        <f t="shared" ca="1" si="0"/>
        <v>800</v>
      </c>
      <c r="M6" s="3">
        <f t="shared" ca="1" si="0"/>
        <v>900</v>
      </c>
      <c r="N6" s="3">
        <f t="shared" ca="1" si="0"/>
        <v>1000</v>
      </c>
      <c r="O6" s="3">
        <f ca="1">N9</f>
        <v>1000</v>
      </c>
      <c r="P6" s="3">
        <f ca="1">O9</f>
        <v>1000</v>
      </c>
      <c r="Q6" s="3">
        <f ca="1">P9</f>
        <v>1000</v>
      </c>
      <c r="R6" s="3">
        <f ca="1">Q9</f>
        <v>1000</v>
      </c>
    </row>
    <row r="7" spans="2:18" x14ac:dyDescent="0.3">
      <c r="B7" t="s">
        <v>84</v>
      </c>
      <c r="D7" s="3">
        <f t="shared" ref="D7:R7" si="1">D4</f>
        <v>100</v>
      </c>
      <c r="E7" s="3">
        <f t="shared" si="1"/>
        <v>100</v>
      </c>
      <c r="F7" s="3">
        <f t="shared" si="1"/>
        <v>100</v>
      </c>
      <c r="G7" s="3">
        <f t="shared" si="1"/>
        <v>100</v>
      </c>
      <c r="H7" s="3">
        <f t="shared" si="1"/>
        <v>100</v>
      </c>
      <c r="I7" s="3">
        <f t="shared" si="1"/>
        <v>100</v>
      </c>
      <c r="J7" s="3">
        <f t="shared" si="1"/>
        <v>100</v>
      </c>
      <c r="K7" s="3">
        <f t="shared" si="1"/>
        <v>100</v>
      </c>
      <c r="L7" s="3">
        <f t="shared" si="1"/>
        <v>100</v>
      </c>
      <c r="M7" s="3">
        <f t="shared" si="1"/>
        <v>100</v>
      </c>
      <c r="N7" s="3">
        <f t="shared" si="1"/>
        <v>100</v>
      </c>
      <c r="O7" s="3">
        <f t="shared" si="1"/>
        <v>100</v>
      </c>
      <c r="P7" s="3">
        <f t="shared" si="1"/>
        <v>100</v>
      </c>
      <c r="Q7" s="3">
        <f t="shared" si="1"/>
        <v>100</v>
      </c>
      <c r="R7" s="3">
        <f t="shared" si="1"/>
        <v>100</v>
      </c>
    </row>
    <row r="8" spans="2:18" x14ac:dyDescent="0.3">
      <c r="B8" t="s">
        <v>85</v>
      </c>
      <c r="D8" s="3">
        <f t="shared" ref="D8:R8" ca="1" si="2">IF(D3&gt;$C$2,OFFSET(D7,0,-$C$2))*1</f>
        <v>0</v>
      </c>
      <c r="E8" s="3">
        <f t="shared" ca="1" si="2"/>
        <v>0</v>
      </c>
      <c r="F8" s="3">
        <f t="shared" ca="1" si="2"/>
        <v>0</v>
      </c>
      <c r="G8" s="3">
        <f t="shared" ca="1" si="2"/>
        <v>0</v>
      </c>
      <c r="H8" s="3">
        <f t="shared" ca="1" si="2"/>
        <v>0</v>
      </c>
      <c r="I8" s="3">
        <f t="shared" ca="1" si="2"/>
        <v>0</v>
      </c>
      <c r="J8" s="3">
        <f t="shared" ca="1" si="2"/>
        <v>0</v>
      </c>
      <c r="K8" s="3">
        <f t="shared" ca="1" si="2"/>
        <v>0</v>
      </c>
      <c r="L8" s="3">
        <f t="shared" ca="1" si="2"/>
        <v>0</v>
      </c>
      <c r="M8" s="3">
        <f t="shared" ca="1" si="2"/>
        <v>0</v>
      </c>
      <c r="N8" s="3">
        <f t="shared" ca="1" si="2"/>
        <v>100</v>
      </c>
      <c r="O8" s="3">
        <f t="shared" ca="1" si="2"/>
        <v>100</v>
      </c>
      <c r="P8" s="3">
        <f t="shared" ca="1" si="2"/>
        <v>100</v>
      </c>
      <c r="Q8" s="3">
        <f t="shared" ca="1" si="2"/>
        <v>100</v>
      </c>
      <c r="R8" s="3">
        <f t="shared" ca="1" si="2"/>
        <v>100</v>
      </c>
    </row>
    <row r="9" spans="2:18" x14ac:dyDescent="0.3">
      <c r="B9" t="s">
        <v>79</v>
      </c>
      <c r="D9" s="3">
        <f ca="1">D6+D7-D8</f>
        <v>100</v>
      </c>
      <c r="E9" s="3">
        <f t="shared" ref="E9:N9" ca="1" si="3">E6+E7-E8</f>
        <v>200</v>
      </c>
      <c r="F9" s="3">
        <f t="shared" ca="1" si="3"/>
        <v>300</v>
      </c>
      <c r="G9" s="3">
        <f t="shared" ca="1" si="3"/>
        <v>400</v>
      </c>
      <c r="H9" s="3">
        <f t="shared" ca="1" si="3"/>
        <v>500</v>
      </c>
      <c r="I9" s="3">
        <f t="shared" ca="1" si="3"/>
        <v>600</v>
      </c>
      <c r="J9" s="3">
        <f t="shared" ca="1" si="3"/>
        <v>700</v>
      </c>
      <c r="K9" s="3">
        <f t="shared" ca="1" si="3"/>
        <v>800</v>
      </c>
      <c r="L9" s="3">
        <f t="shared" ca="1" si="3"/>
        <v>900</v>
      </c>
      <c r="M9" s="3">
        <f t="shared" ca="1" si="3"/>
        <v>1000</v>
      </c>
      <c r="N9" s="3">
        <f t="shared" ca="1" si="3"/>
        <v>1000</v>
      </c>
      <c r="O9" s="3">
        <f ca="1">O6+O7-O8</f>
        <v>1000</v>
      </c>
      <c r="P9" s="3">
        <f ca="1">P6+P7-P8</f>
        <v>1000</v>
      </c>
      <c r="Q9" s="3">
        <f ca="1">Q6+Q7-Q8</f>
        <v>1000</v>
      </c>
      <c r="R9" s="3">
        <f ca="1">R6+R7-R8</f>
        <v>1000</v>
      </c>
    </row>
    <row r="11" spans="2:18" x14ac:dyDescent="0.3">
      <c r="B11" t="s">
        <v>86</v>
      </c>
      <c r="C11">
        <f>C2</f>
        <v>10</v>
      </c>
      <c r="D11" s="27">
        <f>1/$C$11</f>
        <v>0.1</v>
      </c>
      <c r="E11" s="27">
        <f t="shared" ref="E11:R11" si="4">1/$C$11</f>
        <v>0.1</v>
      </c>
      <c r="F11" s="27">
        <f t="shared" si="4"/>
        <v>0.1</v>
      </c>
      <c r="G11" s="27">
        <f t="shared" si="4"/>
        <v>0.1</v>
      </c>
      <c r="H11" s="27">
        <f t="shared" si="4"/>
        <v>0.1</v>
      </c>
      <c r="I11" s="27">
        <f t="shared" si="4"/>
        <v>0.1</v>
      </c>
      <c r="J11" s="27">
        <f t="shared" si="4"/>
        <v>0.1</v>
      </c>
      <c r="K11" s="27">
        <f t="shared" si="4"/>
        <v>0.1</v>
      </c>
      <c r="L11" s="27">
        <f t="shared" si="4"/>
        <v>0.1</v>
      </c>
      <c r="M11" s="27">
        <f t="shared" si="4"/>
        <v>0.1</v>
      </c>
      <c r="N11" s="27">
        <f t="shared" si="4"/>
        <v>0.1</v>
      </c>
      <c r="O11" s="27">
        <f t="shared" si="4"/>
        <v>0.1</v>
      </c>
      <c r="P11" s="27">
        <f t="shared" si="4"/>
        <v>0.1</v>
      </c>
      <c r="Q11" s="27">
        <f t="shared" si="4"/>
        <v>0.1</v>
      </c>
      <c r="R11" s="27">
        <f t="shared" si="4"/>
        <v>0.1</v>
      </c>
    </row>
    <row r="12" spans="2:18" x14ac:dyDescent="0.3">
      <c r="B12" t="s">
        <v>87</v>
      </c>
      <c r="D12" s="3">
        <f t="shared" ref="D12:R12" si="5">D11*D6</f>
        <v>0</v>
      </c>
      <c r="E12" s="3">
        <f t="shared" ca="1" si="5"/>
        <v>10</v>
      </c>
      <c r="F12" s="3">
        <f t="shared" ca="1" si="5"/>
        <v>20</v>
      </c>
      <c r="G12" s="3">
        <f t="shared" ca="1" si="5"/>
        <v>30</v>
      </c>
      <c r="H12" s="3">
        <f t="shared" ca="1" si="5"/>
        <v>40</v>
      </c>
      <c r="I12" s="3">
        <f t="shared" ca="1" si="5"/>
        <v>50</v>
      </c>
      <c r="J12" s="3">
        <f t="shared" ca="1" si="5"/>
        <v>60</v>
      </c>
      <c r="K12" s="3">
        <f t="shared" ca="1" si="5"/>
        <v>70</v>
      </c>
      <c r="L12" s="3">
        <f t="shared" ca="1" si="5"/>
        <v>80</v>
      </c>
      <c r="M12" s="3">
        <f t="shared" ca="1" si="5"/>
        <v>90</v>
      </c>
      <c r="N12" s="3">
        <f t="shared" ca="1" si="5"/>
        <v>100</v>
      </c>
      <c r="O12" s="3">
        <f t="shared" ca="1" si="5"/>
        <v>100</v>
      </c>
      <c r="P12" s="3">
        <f t="shared" ca="1" si="5"/>
        <v>100</v>
      </c>
      <c r="Q12" s="3">
        <f t="shared" ca="1" si="5"/>
        <v>100</v>
      </c>
      <c r="R12" s="3">
        <f t="shared" ca="1" si="5"/>
        <v>100</v>
      </c>
    </row>
    <row r="13" spans="2:18" x14ac:dyDescent="0.3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x14ac:dyDescent="0.3">
      <c r="B14" t="s">
        <v>220</v>
      </c>
      <c r="C14">
        <v>5</v>
      </c>
    </row>
    <row r="15" spans="2:18" x14ac:dyDescent="0.3">
      <c r="D15">
        <v>1</v>
      </c>
      <c r="E15">
        <v>2</v>
      </c>
      <c r="F15">
        <v>3</v>
      </c>
      <c r="G15">
        <v>4</v>
      </c>
      <c r="H15">
        <v>5</v>
      </c>
      <c r="I15">
        <v>6</v>
      </c>
      <c r="J15">
        <v>7</v>
      </c>
      <c r="K15">
        <v>8</v>
      </c>
      <c r="L15">
        <v>9</v>
      </c>
      <c r="M15">
        <v>10</v>
      </c>
      <c r="N15">
        <v>11</v>
      </c>
      <c r="O15">
        <v>12</v>
      </c>
      <c r="P15">
        <v>13</v>
      </c>
      <c r="Q15">
        <v>14</v>
      </c>
      <c r="R15">
        <v>15</v>
      </c>
    </row>
    <row r="16" spans="2:18" x14ac:dyDescent="0.3">
      <c r="B16" t="s">
        <v>83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8" x14ac:dyDescent="0.3">
      <c r="B17" t="s">
        <v>77</v>
      </c>
      <c r="D17" s="3">
        <f>C20</f>
        <v>0</v>
      </c>
      <c r="E17" s="3">
        <f t="shared" ref="E17:R17" ca="1" si="6">D20</f>
        <v>100</v>
      </c>
      <c r="F17" s="3">
        <f t="shared" ca="1" si="6"/>
        <v>200</v>
      </c>
      <c r="G17" s="3">
        <f t="shared" ca="1" si="6"/>
        <v>300</v>
      </c>
      <c r="H17" s="3">
        <f t="shared" ca="1" si="6"/>
        <v>400</v>
      </c>
      <c r="I17" s="3">
        <f t="shared" ca="1" si="6"/>
        <v>500</v>
      </c>
      <c r="J17" s="3">
        <f t="shared" ca="1" si="6"/>
        <v>500</v>
      </c>
      <c r="K17" s="3">
        <f t="shared" ca="1" si="6"/>
        <v>500</v>
      </c>
      <c r="L17" s="3">
        <f t="shared" ca="1" si="6"/>
        <v>500</v>
      </c>
      <c r="M17" s="3">
        <f t="shared" ca="1" si="6"/>
        <v>500</v>
      </c>
      <c r="N17" s="3">
        <f t="shared" ca="1" si="6"/>
        <v>500</v>
      </c>
      <c r="O17" s="3">
        <f t="shared" ca="1" si="6"/>
        <v>500</v>
      </c>
      <c r="P17" s="3">
        <f t="shared" ca="1" si="6"/>
        <v>500</v>
      </c>
      <c r="Q17" s="3">
        <f t="shared" ca="1" si="6"/>
        <v>500</v>
      </c>
      <c r="R17" s="3">
        <f t="shared" ca="1" si="6"/>
        <v>500</v>
      </c>
    </row>
    <row r="18" spans="2:18" x14ac:dyDescent="0.3">
      <c r="B18" t="s">
        <v>84</v>
      </c>
      <c r="D18" s="3">
        <f>D4</f>
        <v>100</v>
      </c>
      <c r="E18" s="3">
        <f t="shared" ref="E18:R18" si="7">E4</f>
        <v>100</v>
      </c>
      <c r="F18" s="3">
        <f t="shared" si="7"/>
        <v>100</v>
      </c>
      <c r="G18" s="3">
        <f t="shared" si="7"/>
        <v>100</v>
      </c>
      <c r="H18" s="3">
        <f t="shared" si="7"/>
        <v>100</v>
      </c>
      <c r="I18" s="3">
        <f t="shared" si="7"/>
        <v>100</v>
      </c>
      <c r="J18" s="3">
        <f t="shared" si="7"/>
        <v>100</v>
      </c>
      <c r="K18" s="3">
        <f t="shared" si="7"/>
        <v>100</v>
      </c>
      <c r="L18" s="3">
        <f t="shared" si="7"/>
        <v>100</v>
      </c>
      <c r="M18" s="3">
        <f t="shared" si="7"/>
        <v>100</v>
      </c>
      <c r="N18" s="3">
        <f t="shared" si="7"/>
        <v>100</v>
      </c>
      <c r="O18" s="3">
        <f t="shared" si="7"/>
        <v>100</v>
      </c>
      <c r="P18" s="3">
        <f t="shared" si="7"/>
        <v>100</v>
      </c>
      <c r="Q18" s="3">
        <f t="shared" si="7"/>
        <v>100</v>
      </c>
      <c r="R18" s="3">
        <f t="shared" si="7"/>
        <v>100</v>
      </c>
    </row>
    <row r="19" spans="2:18" x14ac:dyDescent="0.3">
      <c r="B19" t="s">
        <v>85</v>
      </c>
      <c r="D19" s="3">
        <f t="shared" ref="D19:R19" ca="1" si="8">IF(D15&gt;$C$14,OFFSET(D18,0,-$C$14))*1</f>
        <v>0</v>
      </c>
      <c r="E19" s="3">
        <f t="shared" ca="1" si="8"/>
        <v>0</v>
      </c>
      <c r="F19" s="3">
        <f t="shared" ca="1" si="8"/>
        <v>0</v>
      </c>
      <c r="G19" s="3">
        <f t="shared" ca="1" si="8"/>
        <v>0</v>
      </c>
      <c r="H19" s="3">
        <f t="shared" ca="1" si="8"/>
        <v>0</v>
      </c>
      <c r="I19" s="3">
        <f t="shared" ca="1" si="8"/>
        <v>100</v>
      </c>
      <c r="J19" s="3">
        <f t="shared" ca="1" si="8"/>
        <v>100</v>
      </c>
      <c r="K19" s="3">
        <f t="shared" ca="1" si="8"/>
        <v>100</v>
      </c>
      <c r="L19" s="3">
        <f t="shared" ca="1" si="8"/>
        <v>100</v>
      </c>
      <c r="M19" s="3">
        <f t="shared" ca="1" si="8"/>
        <v>100</v>
      </c>
      <c r="N19" s="3">
        <f t="shared" ca="1" si="8"/>
        <v>100</v>
      </c>
      <c r="O19" s="3">
        <f t="shared" ca="1" si="8"/>
        <v>100</v>
      </c>
      <c r="P19" s="3">
        <f t="shared" ca="1" si="8"/>
        <v>100</v>
      </c>
      <c r="Q19" s="3">
        <f t="shared" ca="1" si="8"/>
        <v>100</v>
      </c>
      <c r="R19" s="3">
        <f t="shared" ca="1" si="8"/>
        <v>100</v>
      </c>
    </row>
    <row r="20" spans="2:18" x14ac:dyDescent="0.3">
      <c r="B20" t="s">
        <v>79</v>
      </c>
      <c r="D20" s="3">
        <f t="shared" ref="D20:R20" ca="1" si="9">D17+D18-D19</f>
        <v>100</v>
      </c>
      <c r="E20" s="3">
        <f t="shared" ca="1" si="9"/>
        <v>200</v>
      </c>
      <c r="F20" s="3">
        <f t="shared" ca="1" si="9"/>
        <v>300</v>
      </c>
      <c r="G20" s="3">
        <f t="shared" ca="1" si="9"/>
        <v>400</v>
      </c>
      <c r="H20" s="3">
        <f t="shared" ca="1" si="9"/>
        <v>500</v>
      </c>
      <c r="I20" s="3">
        <f t="shared" ca="1" si="9"/>
        <v>500</v>
      </c>
      <c r="J20" s="3">
        <f t="shared" ca="1" si="9"/>
        <v>500</v>
      </c>
      <c r="K20" s="3">
        <f t="shared" ca="1" si="9"/>
        <v>500</v>
      </c>
      <c r="L20" s="3">
        <f t="shared" ca="1" si="9"/>
        <v>500</v>
      </c>
      <c r="M20" s="3">
        <f t="shared" ca="1" si="9"/>
        <v>500</v>
      </c>
      <c r="N20" s="3">
        <f t="shared" ca="1" si="9"/>
        <v>500</v>
      </c>
      <c r="O20" s="3">
        <f t="shared" ca="1" si="9"/>
        <v>500</v>
      </c>
      <c r="P20" s="3">
        <f t="shared" ca="1" si="9"/>
        <v>500</v>
      </c>
      <c r="Q20" s="3">
        <f t="shared" ca="1" si="9"/>
        <v>500</v>
      </c>
      <c r="R20" s="3">
        <f t="shared" ca="1" si="9"/>
        <v>500</v>
      </c>
    </row>
    <row r="22" spans="2:18" x14ac:dyDescent="0.3">
      <c r="B22" t="s">
        <v>86</v>
      </c>
      <c r="C22">
        <f>C14</f>
        <v>5</v>
      </c>
      <c r="D22" s="27">
        <f>1/$C$22</f>
        <v>0.2</v>
      </c>
      <c r="E22" s="27">
        <f t="shared" ref="E22:R22" si="10">1/$C$22</f>
        <v>0.2</v>
      </c>
      <c r="F22" s="27">
        <f t="shared" si="10"/>
        <v>0.2</v>
      </c>
      <c r="G22" s="27">
        <f t="shared" si="10"/>
        <v>0.2</v>
      </c>
      <c r="H22" s="27">
        <f t="shared" si="10"/>
        <v>0.2</v>
      </c>
      <c r="I22" s="27">
        <f t="shared" si="10"/>
        <v>0.2</v>
      </c>
      <c r="J22" s="27">
        <f t="shared" si="10"/>
        <v>0.2</v>
      </c>
      <c r="K22" s="27">
        <f t="shared" si="10"/>
        <v>0.2</v>
      </c>
      <c r="L22" s="27">
        <f t="shared" si="10"/>
        <v>0.2</v>
      </c>
      <c r="M22" s="27">
        <f t="shared" si="10"/>
        <v>0.2</v>
      </c>
      <c r="N22" s="27">
        <f t="shared" si="10"/>
        <v>0.2</v>
      </c>
      <c r="O22" s="27">
        <f t="shared" si="10"/>
        <v>0.2</v>
      </c>
      <c r="P22" s="27">
        <f t="shared" si="10"/>
        <v>0.2</v>
      </c>
      <c r="Q22" s="27">
        <f t="shared" si="10"/>
        <v>0.2</v>
      </c>
      <c r="R22" s="27">
        <f t="shared" si="10"/>
        <v>0.2</v>
      </c>
    </row>
    <row r="24" spans="2:18" x14ac:dyDescent="0.3">
      <c r="B24" t="s">
        <v>221</v>
      </c>
      <c r="D24" s="3">
        <f>D22*D17</f>
        <v>0</v>
      </c>
      <c r="E24" s="3">
        <f t="shared" ref="E24:R24" ca="1" si="11">E22*E17</f>
        <v>20</v>
      </c>
      <c r="F24" s="3">
        <f t="shared" ca="1" si="11"/>
        <v>40</v>
      </c>
      <c r="G24" s="3">
        <f t="shared" ca="1" si="11"/>
        <v>60</v>
      </c>
      <c r="H24" s="3">
        <f t="shared" ca="1" si="11"/>
        <v>80</v>
      </c>
      <c r="I24" s="3">
        <f t="shared" ca="1" si="11"/>
        <v>100</v>
      </c>
      <c r="J24" s="3">
        <f t="shared" ca="1" si="11"/>
        <v>100</v>
      </c>
      <c r="K24" s="3">
        <f t="shared" ca="1" si="11"/>
        <v>100</v>
      </c>
      <c r="L24" s="3">
        <f t="shared" ca="1" si="11"/>
        <v>100</v>
      </c>
      <c r="M24" s="3">
        <f t="shared" ca="1" si="11"/>
        <v>100</v>
      </c>
      <c r="N24" s="3">
        <f t="shared" ca="1" si="11"/>
        <v>100</v>
      </c>
      <c r="O24" s="3">
        <f t="shared" ca="1" si="11"/>
        <v>100</v>
      </c>
      <c r="P24" s="3">
        <f t="shared" ca="1" si="11"/>
        <v>100</v>
      </c>
      <c r="Q24" s="3">
        <f t="shared" ca="1" si="11"/>
        <v>100</v>
      </c>
      <c r="R24" s="3">
        <f t="shared" ca="1" si="11"/>
        <v>100</v>
      </c>
    </row>
    <row r="25" spans="2:18" x14ac:dyDescent="0.3">
      <c r="B25" t="s">
        <v>222</v>
      </c>
      <c r="D25" s="3"/>
      <c r="E25" s="3">
        <f t="shared" ref="E25:R25" ca="1" si="12">E24-E12</f>
        <v>10</v>
      </c>
      <c r="F25" s="3">
        <f t="shared" ca="1" si="12"/>
        <v>20</v>
      </c>
      <c r="G25" s="3">
        <f t="shared" ca="1" si="12"/>
        <v>30</v>
      </c>
      <c r="H25" s="3">
        <f t="shared" ca="1" si="12"/>
        <v>40</v>
      </c>
      <c r="I25" s="3">
        <f t="shared" ca="1" si="12"/>
        <v>50</v>
      </c>
      <c r="J25" s="3">
        <f t="shared" ca="1" si="12"/>
        <v>40</v>
      </c>
      <c r="K25" s="3">
        <f t="shared" ca="1" si="12"/>
        <v>30</v>
      </c>
      <c r="L25" s="3">
        <f t="shared" ca="1" si="12"/>
        <v>20</v>
      </c>
      <c r="M25" s="3">
        <f t="shared" ca="1" si="12"/>
        <v>10</v>
      </c>
      <c r="N25" s="3">
        <f t="shared" ca="1" si="12"/>
        <v>0</v>
      </c>
      <c r="O25" s="3">
        <f t="shared" ca="1" si="12"/>
        <v>0</v>
      </c>
      <c r="P25" s="3">
        <f t="shared" ca="1" si="12"/>
        <v>0</v>
      </c>
      <c r="Q25" s="3">
        <f t="shared" ca="1" si="12"/>
        <v>0</v>
      </c>
      <c r="R25" s="3">
        <f t="shared" ca="1" si="12"/>
        <v>0</v>
      </c>
    </row>
    <row r="26" spans="2:18" x14ac:dyDescent="0.3">
      <c r="B26" t="s">
        <v>223</v>
      </c>
      <c r="D26" s="27">
        <v>0.3</v>
      </c>
      <c r="E26" s="27">
        <v>0.3</v>
      </c>
      <c r="F26" s="27">
        <v>0.3</v>
      </c>
      <c r="G26" s="27">
        <v>0.3</v>
      </c>
      <c r="H26" s="27">
        <v>0.3</v>
      </c>
      <c r="I26" s="27">
        <v>0.3</v>
      </c>
      <c r="J26" s="27">
        <v>0.3</v>
      </c>
      <c r="K26" s="27">
        <v>0.3</v>
      </c>
      <c r="L26" s="27">
        <v>0.3</v>
      </c>
      <c r="M26" s="27">
        <v>0.3</v>
      </c>
      <c r="N26" s="27">
        <v>0.3</v>
      </c>
      <c r="O26" s="27">
        <v>0.3</v>
      </c>
      <c r="P26" s="27">
        <v>0.3</v>
      </c>
      <c r="Q26" s="27">
        <v>0.3</v>
      </c>
      <c r="R26" s="27">
        <v>0.3</v>
      </c>
    </row>
    <row r="27" spans="2:18" x14ac:dyDescent="0.3">
      <c r="B27" t="s">
        <v>224</v>
      </c>
      <c r="D27" s="3"/>
      <c r="E27" s="3">
        <f ca="1">E25*E26</f>
        <v>3</v>
      </c>
      <c r="F27" s="3">
        <f t="shared" ref="F27:R27" ca="1" si="13">F25*F26</f>
        <v>6</v>
      </c>
      <c r="G27" s="3">
        <f t="shared" ca="1" si="13"/>
        <v>9</v>
      </c>
      <c r="H27" s="3">
        <f t="shared" ca="1" si="13"/>
        <v>12</v>
      </c>
      <c r="I27" s="3">
        <f t="shared" ca="1" si="13"/>
        <v>15</v>
      </c>
      <c r="J27" s="3">
        <f t="shared" ca="1" si="13"/>
        <v>12</v>
      </c>
      <c r="K27" s="3">
        <f t="shared" ca="1" si="13"/>
        <v>9</v>
      </c>
      <c r="L27" s="3">
        <f t="shared" ca="1" si="13"/>
        <v>6</v>
      </c>
      <c r="M27" s="3">
        <f t="shared" ca="1" si="13"/>
        <v>3</v>
      </c>
      <c r="N27" s="3">
        <f t="shared" ca="1" si="13"/>
        <v>0</v>
      </c>
      <c r="O27" s="3">
        <f t="shared" ca="1" si="13"/>
        <v>0</v>
      </c>
      <c r="P27" s="3">
        <f t="shared" ca="1" si="13"/>
        <v>0</v>
      </c>
      <c r="Q27" s="3">
        <f t="shared" ca="1" si="13"/>
        <v>0</v>
      </c>
      <c r="R27" s="3">
        <f t="shared" ca="1" si="13"/>
        <v>0</v>
      </c>
    </row>
    <row r="28" spans="2:18" x14ac:dyDescent="0.3">
      <c r="B28" t="s">
        <v>225</v>
      </c>
      <c r="D28" s="3"/>
      <c r="E28" s="3">
        <f ca="1">D28+E27</f>
        <v>3</v>
      </c>
      <c r="F28" s="3">
        <f t="shared" ref="F28:R28" ca="1" si="14">E28+F27</f>
        <v>9</v>
      </c>
      <c r="G28" s="3">
        <f t="shared" ca="1" si="14"/>
        <v>18</v>
      </c>
      <c r="H28" s="3">
        <f t="shared" ca="1" si="14"/>
        <v>30</v>
      </c>
      <c r="I28" s="3">
        <f t="shared" ca="1" si="14"/>
        <v>45</v>
      </c>
      <c r="J28" s="3">
        <f t="shared" ca="1" si="14"/>
        <v>57</v>
      </c>
      <c r="K28" s="3">
        <f t="shared" ca="1" si="14"/>
        <v>66</v>
      </c>
      <c r="L28" s="3">
        <f t="shared" ca="1" si="14"/>
        <v>72</v>
      </c>
      <c r="M28" s="3">
        <f t="shared" ca="1" si="14"/>
        <v>75</v>
      </c>
      <c r="N28" s="3">
        <f t="shared" ca="1" si="14"/>
        <v>75</v>
      </c>
      <c r="O28" s="3">
        <f t="shared" ca="1" si="14"/>
        <v>75</v>
      </c>
      <c r="P28" s="3">
        <f t="shared" ca="1" si="14"/>
        <v>75</v>
      </c>
      <c r="Q28" s="3">
        <f t="shared" ca="1" si="14"/>
        <v>75</v>
      </c>
      <c r="R28" s="3">
        <f t="shared" ca="1" si="14"/>
        <v>75</v>
      </c>
    </row>
    <row r="29" spans="2:18" x14ac:dyDescent="0.3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2:18" x14ac:dyDescent="0.3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2:18" x14ac:dyDescent="0.3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2:18" x14ac:dyDescent="0.3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2:18" x14ac:dyDescent="0.3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3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3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2:18" x14ac:dyDescent="0.3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x14ac:dyDescent="0.3">
      <c r="B37" t="s">
        <v>88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2:18" x14ac:dyDescent="0.3">
      <c r="B38" t="s">
        <v>77</v>
      </c>
      <c r="D38" s="3">
        <f>C41</f>
        <v>0</v>
      </c>
      <c r="E38" s="3">
        <f t="shared" ref="E38:N38" ca="1" si="15">D41</f>
        <v>0</v>
      </c>
      <c r="F38" s="3">
        <f t="shared" ca="1" si="15"/>
        <v>10</v>
      </c>
      <c r="G38" s="3">
        <f t="shared" ca="1" si="15"/>
        <v>30</v>
      </c>
      <c r="H38" s="3">
        <f t="shared" ca="1" si="15"/>
        <v>60</v>
      </c>
      <c r="I38" s="3">
        <f t="shared" ca="1" si="15"/>
        <v>100</v>
      </c>
      <c r="J38" s="3">
        <f t="shared" ca="1" si="15"/>
        <v>150</v>
      </c>
      <c r="K38" s="3">
        <f t="shared" ca="1" si="15"/>
        <v>210</v>
      </c>
      <c r="L38" s="3">
        <f t="shared" ca="1" si="15"/>
        <v>280</v>
      </c>
      <c r="M38" s="3">
        <f t="shared" ca="1" si="15"/>
        <v>360</v>
      </c>
      <c r="N38" s="3">
        <f t="shared" ca="1" si="15"/>
        <v>450</v>
      </c>
      <c r="O38" s="3">
        <f ca="1">N41</f>
        <v>450</v>
      </c>
      <c r="P38" s="3">
        <f ca="1">O41</f>
        <v>450</v>
      </c>
      <c r="Q38" s="3">
        <f ca="1">P41</f>
        <v>450</v>
      </c>
      <c r="R38" s="3">
        <f ca="1">Q41</f>
        <v>450</v>
      </c>
    </row>
    <row r="39" spans="2:18" x14ac:dyDescent="0.3">
      <c r="B39" t="s">
        <v>89</v>
      </c>
      <c r="D39" s="3">
        <f>D12</f>
        <v>0</v>
      </c>
      <c r="E39" s="3">
        <f t="shared" ref="E39:N39" ca="1" si="16">E12</f>
        <v>10</v>
      </c>
      <c r="F39" s="3">
        <f t="shared" ca="1" si="16"/>
        <v>20</v>
      </c>
      <c r="G39" s="3">
        <f t="shared" ca="1" si="16"/>
        <v>30</v>
      </c>
      <c r="H39" s="3">
        <f t="shared" ca="1" si="16"/>
        <v>40</v>
      </c>
      <c r="I39" s="3">
        <f t="shared" ca="1" si="16"/>
        <v>50</v>
      </c>
      <c r="J39" s="3">
        <f t="shared" ca="1" si="16"/>
        <v>60</v>
      </c>
      <c r="K39" s="3">
        <f t="shared" ca="1" si="16"/>
        <v>70</v>
      </c>
      <c r="L39" s="3">
        <f t="shared" ca="1" si="16"/>
        <v>80</v>
      </c>
      <c r="M39" s="3">
        <f t="shared" ca="1" si="16"/>
        <v>90</v>
      </c>
      <c r="N39" s="3">
        <f t="shared" ca="1" si="16"/>
        <v>100</v>
      </c>
      <c r="O39" s="3">
        <f ca="1">O12</f>
        <v>100</v>
      </c>
      <c r="P39" s="3">
        <f ca="1">P12</f>
        <v>100</v>
      </c>
      <c r="Q39" s="3">
        <f ca="1">Q12</f>
        <v>100</v>
      </c>
      <c r="R39" s="3">
        <f ca="1">R12</f>
        <v>100</v>
      </c>
    </row>
    <row r="40" spans="2:18" x14ac:dyDescent="0.3">
      <c r="B40" t="s">
        <v>90</v>
      </c>
      <c r="D40" s="3">
        <f ca="1">D8</f>
        <v>0</v>
      </c>
      <c r="E40" s="3">
        <f t="shared" ref="E40:N40" ca="1" si="17">E8</f>
        <v>0</v>
      </c>
      <c r="F40" s="3">
        <f t="shared" ca="1" si="17"/>
        <v>0</v>
      </c>
      <c r="G40" s="3">
        <f t="shared" ca="1" si="17"/>
        <v>0</v>
      </c>
      <c r="H40" s="3">
        <f t="shared" ca="1" si="17"/>
        <v>0</v>
      </c>
      <c r="I40" s="3">
        <f t="shared" ca="1" si="17"/>
        <v>0</v>
      </c>
      <c r="J40" s="3">
        <f t="shared" ca="1" si="17"/>
        <v>0</v>
      </c>
      <c r="K40" s="3">
        <f t="shared" ca="1" si="17"/>
        <v>0</v>
      </c>
      <c r="L40" s="3">
        <f t="shared" ca="1" si="17"/>
        <v>0</v>
      </c>
      <c r="M40" s="3">
        <f t="shared" ca="1" si="17"/>
        <v>0</v>
      </c>
      <c r="N40" s="3">
        <f t="shared" ca="1" si="17"/>
        <v>100</v>
      </c>
      <c r="O40" s="3">
        <f ca="1">O8</f>
        <v>100</v>
      </c>
      <c r="P40" s="3">
        <f ca="1">P8</f>
        <v>100</v>
      </c>
      <c r="Q40" s="3">
        <f ca="1">Q8</f>
        <v>100</v>
      </c>
      <c r="R40" s="3">
        <f ca="1">R8</f>
        <v>100</v>
      </c>
    </row>
    <row r="41" spans="2:18" x14ac:dyDescent="0.3">
      <c r="B41" t="s">
        <v>79</v>
      </c>
      <c r="D41" s="3">
        <f ca="1">D38+D39-D40</f>
        <v>0</v>
      </c>
      <c r="E41" s="3">
        <f t="shared" ref="E41:N41" ca="1" si="18">E38+E39-E40</f>
        <v>10</v>
      </c>
      <c r="F41" s="3">
        <f t="shared" ca="1" si="18"/>
        <v>30</v>
      </c>
      <c r="G41" s="3">
        <f t="shared" ca="1" si="18"/>
        <v>60</v>
      </c>
      <c r="H41" s="3">
        <f t="shared" ca="1" si="18"/>
        <v>100</v>
      </c>
      <c r="I41" s="3">
        <f t="shared" ca="1" si="18"/>
        <v>150</v>
      </c>
      <c r="J41" s="3">
        <f t="shared" ca="1" si="18"/>
        <v>210</v>
      </c>
      <c r="K41" s="3">
        <f t="shared" ca="1" si="18"/>
        <v>280</v>
      </c>
      <c r="L41" s="3">
        <f t="shared" ca="1" si="18"/>
        <v>360</v>
      </c>
      <c r="M41" s="3">
        <f t="shared" ca="1" si="18"/>
        <v>450</v>
      </c>
      <c r="N41" s="3">
        <f t="shared" ca="1" si="18"/>
        <v>450</v>
      </c>
      <c r="O41" s="3">
        <f ca="1">O38+O39-O40</f>
        <v>450</v>
      </c>
      <c r="P41" s="3">
        <f ca="1">P38+P39-P40</f>
        <v>450</v>
      </c>
      <c r="Q41" s="3">
        <f ca="1">Q38+Q39-Q40</f>
        <v>450</v>
      </c>
      <c r="R41" s="3">
        <f ca="1">R38+R39-R40</f>
        <v>450</v>
      </c>
    </row>
    <row r="42" spans="2:18" x14ac:dyDescent="0.3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3">
      <c r="B43" t="s">
        <v>91</v>
      </c>
      <c r="D43" s="3">
        <f t="shared" ref="D43:R43" ca="1" si="19">D9-D41</f>
        <v>100</v>
      </c>
      <c r="E43" s="3">
        <f t="shared" ca="1" si="19"/>
        <v>190</v>
      </c>
      <c r="F43" s="3">
        <f t="shared" ca="1" si="19"/>
        <v>270</v>
      </c>
      <c r="G43" s="3">
        <f t="shared" ca="1" si="19"/>
        <v>340</v>
      </c>
      <c r="H43" s="3">
        <f t="shared" ca="1" si="19"/>
        <v>400</v>
      </c>
      <c r="I43" s="3">
        <f t="shared" ca="1" si="19"/>
        <v>450</v>
      </c>
      <c r="J43" s="3">
        <f t="shared" ca="1" si="19"/>
        <v>490</v>
      </c>
      <c r="K43" s="3">
        <f t="shared" ca="1" si="19"/>
        <v>520</v>
      </c>
      <c r="L43" s="3">
        <f t="shared" ca="1" si="19"/>
        <v>540</v>
      </c>
      <c r="M43" s="3">
        <f t="shared" ca="1" si="19"/>
        <v>550</v>
      </c>
      <c r="N43" s="3">
        <f t="shared" ca="1" si="19"/>
        <v>550</v>
      </c>
      <c r="O43" s="3">
        <f t="shared" ca="1" si="19"/>
        <v>550</v>
      </c>
      <c r="P43" s="3">
        <f t="shared" ca="1" si="19"/>
        <v>550</v>
      </c>
      <c r="Q43" s="3">
        <f t="shared" ca="1" si="19"/>
        <v>550</v>
      </c>
      <c r="R43" s="3">
        <f t="shared" ca="1" si="19"/>
        <v>550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workbookViewId="0">
      <selection activeCell="A17" sqref="A17"/>
    </sheetView>
  </sheetViews>
  <sheetFormatPr defaultRowHeight="14.4" x14ac:dyDescent="0.3"/>
  <cols>
    <col min="1" max="1" width="60.5546875" bestFit="1" customWidth="1"/>
    <col min="2" max="3" width="10" customWidth="1"/>
    <col min="4" max="5" width="10.88671875" bestFit="1" customWidth="1"/>
  </cols>
  <sheetData>
    <row r="2" spans="1:5" x14ac:dyDescent="0.3">
      <c r="B2" t="s">
        <v>70</v>
      </c>
      <c r="C2" t="s">
        <v>71</v>
      </c>
      <c r="D2">
        <v>2015</v>
      </c>
      <c r="E2">
        <v>2014</v>
      </c>
    </row>
    <row r="3" spans="1:5" x14ac:dyDescent="0.3">
      <c r="C3" t="s">
        <v>72</v>
      </c>
    </row>
    <row r="4" spans="1:5" x14ac:dyDescent="0.3">
      <c r="A4" t="s">
        <v>47</v>
      </c>
    </row>
    <row r="5" spans="1:5" x14ac:dyDescent="0.3">
      <c r="A5" t="s">
        <v>48</v>
      </c>
    </row>
    <row r="6" spans="1:5" s="5" customFormat="1" x14ac:dyDescent="0.3">
      <c r="A6" s="5" t="s">
        <v>52</v>
      </c>
      <c r="C6" s="5">
        <v>1</v>
      </c>
      <c r="D6" s="5">
        <v>22636744</v>
      </c>
      <c r="E6" s="5">
        <v>16840766</v>
      </c>
    </row>
    <row r="7" spans="1:5" s="5" customFormat="1" x14ac:dyDescent="0.3">
      <c r="A7" s="5" t="s">
        <v>53</v>
      </c>
      <c r="C7" s="5">
        <v>1</v>
      </c>
      <c r="D7" s="5">
        <v>44228800</v>
      </c>
      <c r="E7" s="5">
        <v>41689776</v>
      </c>
    </row>
    <row r="8" spans="1:5" s="5" customFormat="1" x14ac:dyDescent="0.3">
      <c r="A8" s="5" t="s">
        <v>68</v>
      </c>
      <c r="C8" s="5">
        <v>1</v>
      </c>
      <c r="D8" s="5">
        <v>4627530</v>
      </c>
      <c r="E8" s="5">
        <v>3286798</v>
      </c>
    </row>
    <row r="9" spans="1:5" s="5" customFormat="1" x14ac:dyDescent="0.3">
      <c r="A9" s="5" t="s">
        <v>54</v>
      </c>
      <c r="B9" s="5">
        <v>1</v>
      </c>
      <c r="D9" s="5">
        <v>25168026</v>
      </c>
      <c r="E9" s="5">
        <v>24694610</v>
      </c>
    </row>
    <row r="10" spans="1:5" s="5" customFormat="1" x14ac:dyDescent="0.3">
      <c r="A10" s="5" t="s">
        <v>55</v>
      </c>
      <c r="C10" s="5">
        <v>1</v>
      </c>
      <c r="D10" s="5">
        <v>3352663</v>
      </c>
      <c r="E10" s="5">
        <v>3539875</v>
      </c>
    </row>
    <row r="11" spans="1:5" s="5" customFormat="1" x14ac:dyDescent="0.3">
      <c r="A11" s="5" t="s">
        <v>50</v>
      </c>
      <c r="C11" s="5">
        <v>1</v>
      </c>
      <c r="D11" s="5">
        <v>1706003</v>
      </c>
      <c r="E11" s="5">
        <v>1989470</v>
      </c>
    </row>
    <row r="12" spans="1:5" s="5" customFormat="1" x14ac:dyDescent="0.3">
      <c r="A12" s="5" t="s">
        <v>56</v>
      </c>
      <c r="B12" s="5">
        <v>1</v>
      </c>
      <c r="D12" s="5">
        <v>3170632</v>
      </c>
      <c r="E12" s="5">
        <v>3346593</v>
      </c>
    </row>
    <row r="13" spans="1:5" s="5" customFormat="1" x14ac:dyDescent="0.3">
      <c r="A13" s="5" t="s">
        <v>51</v>
      </c>
      <c r="B13" s="5">
        <v>1</v>
      </c>
      <c r="D13" s="5">
        <v>18811794</v>
      </c>
      <c r="E13" s="5">
        <v>17317504</v>
      </c>
    </row>
    <row r="14" spans="1:5" s="5" customFormat="1" x14ac:dyDescent="0.3">
      <c r="A14" s="5" t="s">
        <v>57</v>
      </c>
      <c r="B14" s="5">
        <v>1</v>
      </c>
      <c r="D14" s="5">
        <v>1035460</v>
      </c>
      <c r="E14" s="5">
        <v>1795143</v>
      </c>
    </row>
    <row r="15" spans="1:5" s="5" customFormat="1" x14ac:dyDescent="0.3">
      <c r="A15" s="5" t="s">
        <v>58</v>
      </c>
      <c r="C15" s="5">
        <v>1</v>
      </c>
      <c r="D15" s="5">
        <v>77073</v>
      </c>
      <c r="E15" s="5">
        <v>645491</v>
      </c>
    </row>
    <row r="16" spans="1:5" s="5" customFormat="1" x14ac:dyDescent="0.3">
      <c r="A16" s="18" t="s">
        <v>59</v>
      </c>
      <c r="B16" s="18"/>
      <c r="C16" s="18"/>
      <c r="D16" s="18">
        <v>124814725</v>
      </c>
      <c r="E16" s="18">
        <v>115146026</v>
      </c>
    </row>
    <row r="17" spans="1:5" x14ac:dyDescent="0.3">
      <c r="A17" t="s">
        <v>60</v>
      </c>
    </row>
    <row r="18" spans="1:5" x14ac:dyDescent="0.3">
      <c r="A18" t="s">
        <v>61</v>
      </c>
    </row>
    <row r="19" spans="1:5" s="5" customFormat="1" x14ac:dyDescent="0.3">
      <c r="A19" t="s">
        <v>49</v>
      </c>
      <c r="B19"/>
      <c r="C19">
        <v>1</v>
      </c>
      <c r="D19" s="5">
        <v>8332480</v>
      </c>
      <c r="E19" s="5">
        <v>12667509</v>
      </c>
    </row>
    <row r="20" spans="1:5" s="5" customFormat="1" x14ac:dyDescent="0.3">
      <c r="A20" s="5" t="s">
        <v>69</v>
      </c>
      <c r="B20" s="5">
        <v>1</v>
      </c>
      <c r="D20" s="5">
        <v>5276348</v>
      </c>
      <c r="E20" s="5">
        <v>5232461</v>
      </c>
    </row>
    <row r="21" spans="1:5" s="5" customFormat="1" x14ac:dyDescent="0.3">
      <c r="A21" s="5" t="s">
        <v>62</v>
      </c>
      <c r="B21" s="5">
        <v>1</v>
      </c>
      <c r="D21" s="5">
        <v>86477110</v>
      </c>
      <c r="E21" s="5">
        <v>80872950</v>
      </c>
    </row>
    <row r="22" spans="1:5" s="5" customFormat="1" x14ac:dyDescent="0.3">
      <c r="A22" s="5" t="s">
        <v>63</v>
      </c>
      <c r="B22" s="5">
        <v>1</v>
      </c>
      <c r="D22" s="5">
        <v>5396311</v>
      </c>
      <c r="E22" s="5">
        <v>4785473</v>
      </c>
    </row>
    <row r="23" spans="1:5" s="5" customFormat="1" x14ac:dyDescent="0.3">
      <c r="A23" s="5" t="s">
        <v>64</v>
      </c>
      <c r="B23" s="5">
        <v>1</v>
      </c>
      <c r="D23" s="5">
        <v>4294401</v>
      </c>
      <c r="E23" s="5">
        <v>4857126</v>
      </c>
    </row>
    <row r="24" spans="1:5" s="5" customFormat="1" x14ac:dyDescent="0.3">
      <c r="A24" s="5" t="s">
        <v>65</v>
      </c>
      <c r="B24" s="5">
        <v>1</v>
      </c>
      <c r="D24" s="5">
        <v>5589108</v>
      </c>
      <c r="E24" s="5">
        <v>4526595</v>
      </c>
    </row>
    <row r="25" spans="1:5" s="5" customFormat="1" x14ac:dyDescent="0.3">
      <c r="A25" s="5" t="s">
        <v>66</v>
      </c>
      <c r="B25" s="5">
        <v>1</v>
      </c>
      <c r="D25" s="5">
        <v>1999038</v>
      </c>
      <c r="E25" s="5">
        <v>2334818</v>
      </c>
    </row>
    <row r="26" spans="1:5" s="5" customFormat="1" x14ac:dyDescent="0.3">
      <c r="A26" s="18" t="s">
        <v>67</v>
      </c>
      <c r="B26" s="18"/>
      <c r="C26" s="18"/>
      <c r="D26" s="18">
        <v>242179521</v>
      </c>
      <c r="E26" s="18">
        <v>230422958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5"/>
  <sheetViews>
    <sheetView workbookViewId="0">
      <selection activeCell="K17" sqref="K17"/>
    </sheetView>
  </sheetViews>
  <sheetFormatPr defaultRowHeight="14.4" x14ac:dyDescent="0.3"/>
  <cols>
    <col min="1" max="1" width="8.88671875" style="21"/>
    <col min="2" max="2" width="27.6640625" style="21" customWidth="1"/>
    <col min="3" max="16384" width="8.88671875" style="21"/>
  </cols>
  <sheetData>
    <row r="3" spans="2:10" x14ac:dyDescent="0.3">
      <c r="B3" s="33" t="s">
        <v>264</v>
      </c>
      <c r="D3" s="21" t="s">
        <v>288</v>
      </c>
    </row>
    <row r="5" spans="2:10" x14ac:dyDescent="0.3">
      <c r="B5" s="21" t="s">
        <v>272</v>
      </c>
      <c r="D5" s="21" t="s">
        <v>273</v>
      </c>
      <c r="F5" s="21" t="s">
        <v>274</v>
      </c>
      <c r="H5" s="21" t="s">
        <v>275</v>
      </c>
      <c r="J5" s="21" t="s">
        <v>275</v>
      </c>
    </row>
    <row r="7" spans="2:10" x14ac:dyDescent="0.3">
      <c r="B7" s="21" t="s">
        <v>272</v>
      </c>
      <c r="D7" s="24">
        <v>1</v>
      </c>
      <c r="F7" s="24">
        <v>2</v>
      </c>
      <c r="H7" s="24">
        <v>3</v>
      </c>
      <c r="J7" s="24">
        <v>4</v>
      </c>
    </row>
    <row r="8" spans="2:10" x14ac:dyDescent="0.3">
      <c r="B8" s="21" t="s">
        <v>265</v>
      </c>
      <c r="D8" s="37">
        <v>100000</v>
      </c>
      <c r="F8" s="37">
        <v>100000</v>
      </c>
      <c r="H8" s="37">
        <v>100000</v>
      </c>
      <c r="J8" s="37">
        <v>100000</v>
      </c>
    </row>
    <row r="9" spans="2:10" x14ac:dyDescent="0.3">
      <c r="B9" s="21" t="s">
        <v>266</v>
      </c>
      <c r="D9" s="38">
        <v>0.03</v>
      </c>
      <c r="F9" s="38">
        <v>0.03</v>
      </c>
      <c r="H9" s="38">
        <v>0.03</v>
      </c>
      <c r="J9" s="38">
        <v>0.03</v>
      </c>
    </row>
    <row r="11" spans="2:10" x14ac:dyDescent="0.3">
      <c r="B11" s="21" t="s">
        <v>271</v>
      </c>
      <c r="D11" s="38">
        <v>0.03</v>
      </c>
      <c r="F11" s="38">
        <v>0.02</v>
      </c>
      <c r="H11" s="38">
        <v>0.04</v>
      </c>
      <c r="J11" s="38">
        <v>0.06</v>
      </c>
    </row>
    <row r="13" spans="2:10" x14ac:dyDescent="0.3">
      <c r="B13" s="21" t="s">
        <v>283</v>
      </c>
      <c r="D13" s="26">
        <f>D11*D8</f>
        <v>3000</v>
      </c>
      <c r="F13" s="26">
        <f>F11*F8</f>
        <v>2000</v>
      </c>
      <c r="H13" s="26">
        <f>H11*H8</f>
        <v>4000</v>
      </c>
      <c r="J13" s="26">
        <f>J11*J8</f>
        <v>6000</v>
      </c>
    </row>
    <row r="14" spans="2:10" x14ac:dyDescent="0.3">
      <c r="B14" s="21" t="s">
        <v>284</v>
      </c>
      <c r="D14" s="26">
        <f>D9*D8</f>
        <v>3000</v>
      </c>
      <c r="F14" s="26">
        <f>F9*F8</f>
        <v>3000</v>
      </c>
      <c r="H14" s="26">
        <f>H9*H8</f>
        <v>3000</v>
      </c>
      <c r="J14" s="26">
        <f>J9*J8</f>
        <v>3000</v>
      </c>
    </row>
    <row r="16" spans="2:10" x14ac:dyDescent="0.3">
      <c r="B16" s="21" t="s">
        <v>285</v>
      </c>
      <c r="D16" s="26">
        <f>D13-D14</f>
        <v>0</v>
      </c>
      <c r="F16" s="26">
        <f>F13-F14</f>
        <v>-1000</v>
      </c>
      <c r="H16" s="26">
        <f>H13-H14</f>
        <v>1000</v>
      </c>
      <c r="J16" s="26">
        <f>J13-J14</f>
        <v>3000</v>
      </c>
    </row>
    <row r="18" spans="2:10" x14ac:dyDescent="0.3">
      <c r="B18" s="21" t="s">
        <v>268</v>
      </c>
      <c r="D18" s="26">
        <f>-D11*D8</f>
        <v>-3000</v>
      </c>
      <c r="F18" s="26">
        <f>-F11*F8</f>
        <v>-2000</v>
      </c>
      <c r="H18" s="26">
        <f>-H11*H8</f>
        <v>-4000</v>
      </c>
      <c r="J18" s="26">
        <f>-J11*J8</f>
        <v>-6000</v>
      </c>
    </row>
    <row r="19" spans="2:10" x14ac:dyDescent="0.3">
      <c r="B19" s="21" t="s">
        <v>269</v>
      </c>
      <c r="D19" s="26">
        <f>D16</f>
        <v>0</v>
      </c>
      <c r="F19" s="26">
        <f>F16</f>
        <v>-1000</v>
      </c>
      <c r="H19" s="26">
        <f>H16</f>
        <v>1000</v>
      </c>
      <c r="J19" s="26">
        <f>J16</f>
        <v>3000</v>
      </c>
    </row>
    <row r="20" spans="2:10" x14ac:dyDescent="0.3">
      <c r="B20" s="35" t="s">
        <v>270</v>
      </c>
      <c r="C20" s="35"/>
      <c r="D20" s="36">
        <f>SUM(D18:D19)</f>
        <v>-3000</v>
      </c>
      <c r="E20" s="35"/>
      <c r="F20" s="36">
        <f>SUM(F18:F19)</f>
        <v>-3000</v>
      </c>
      <c r="G20" s="35"/>
      <c r="H20" s="36">
        <f>SUM(H18:H19)</f>
        <v>-3000</v>
      </c>
      <c r="I20" s="35"/>
      <c r="J20" s="36">
        <f>SUM(J18:J19)</f>
        <v>-3000</v>
      </c>
    </row>
    <row r="22" spans="2:10" x14ac:dyDescent="0.3">
      <c r="B22" s="21" t="s">
        <v>276</v>
      </c>
    </row>
    <row r="23" spans="2:10" x14ac:dyDescent="0.3">
      <c r="B23" s="21" t="s">
        <v>277</v>
      </c>
      <c r="D23" s="26">
        <f>D18</f>
        <v>-3000</v>
      </c>
      <c r="F23" s="26">
        <f>F18</f>
        <v>-2000</v>
      </c>
      <c r="H23" s="26">
        <f>H18</f>
        <v>-4000</v>
      </c>
      <c r="J23" s="26">
        <f>J18</f>
        <v>-6000</v>
      </c>
    </row>
    <row r="24" spans="2:10" x14ac:dyDescent="0.3">
      <c r="B24" s="21" t="s">
        <v>278</v>
      </c>
      <c r="D24" s="26">
        <f>D19</f>
        <v>0</v>
      </c>
      <c r="F24" s="26">
        <f>F19</f>
        <v>-1000</v>
      </c>
      <c r="H24" s="26">
        <f>H19</f>
        <v>1000</v>
      </c>
      <c r="J24" s="26">
        <f>J19</f>
        <v>3000</v>
      </c>
    </row>
    <row r="25" spans="2:10" x14ac:dyDescent="0.3">
      <c r="B25" s="39" t="s">
        <v>291</v>
      </c>
      <c r="C25" s="40"/>
      <c r="D25" s="41">
        <f>D23+D24</f>
        <v>-3000</v>
      </c>
      <c r="E25" s="40"/>
      <c r="F25" s="41">
        <f>F23+F24</f>
        <v>-3000</v>
      </c>
      <c r="G25" s="40"/>
      <c r="H25" s="41">
        <f>H23+H24</f>
        <v>-3000</v>
      </c>
      <c r="I25" s="40"/>
      <c r="J25" s="42">
        <f>J23+J24</f>
        <v>-3000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6"/>
  <sheetViews>
    <sheetView workbookViewId="0">
      <selection activeCell="F10" sqref="F10"/>
    </sheetView>
  </sheetViews>
  <sheetFormatPr defaultRowHeight="14.4" x14ac:dyDescent="0.3"/>
  <cols>
    <col min="1" max="1" width="8.88671875" style="21"/>
    <col min="2" max="2" width="27.6640625" style="21" customWidth="1"/>
    <col min="3" max="16384" width="8.88671875" style="21"/>
  </cols>
  <sheetData>
    <row r="3" spans="2:10" x14ac:dyDescent="0.3">
      <c r="B3" s="33" t="s">
        <v>286</v>
      </c>
      <c r="D3" s="21" t="s">
        <v>287</v>
      </c>
    </row>
    <row r="5" spans="2:10" x14ac:dyDescent="0.3">
      <c r="B5" s="21" t="s">
        <v>272</v>
      </c>
      <c r="D5" s="21" t="s">
        <v>273</v>
      </c>
      <c r="F5" s="21" t="s">
        <v>274</v>
      </c>
      <c r="H5" s="21" t="s">
        <v>275</v>
      </c>
      <c r="J5" s="21" t="s">
        <v>275</v>
      </c>
    </row>
    <row r="7" spans="2:10" x14ac:dyDescent="0.3">
      <c r="B7" s="21" t="s">
        <v>272</v>
      </c>
      <c r="D7" s="24">
        <v>1</v>
      </c>
      <c r="F7" s="24">
        <v>2</v>
      </c>
      <c r="H7" s="24">
        <v>3</v>
      </c>
      <c r="J7" s="24">
        <v>4</v>
      </c>
    </row>
    <row r="8" spans="2:10" x14ac:dyDescent="0.3">
      <c r="B8" s="21" t="s">
        <v>265</v>
      </c>
      <c r="D8" s="37">
        <v>100000</v>
      </c>
      <c r="F8" s="37">
        <v>100000</v>
      </c>
      <c r="H8" s="37">
        <v>100000</v>
      </c>
      <c r="J8" s="37">
        <v>100000</v>
      </c>
    </row>
    <row r="9" spans="2:10" x14ac:dyDescent="0.3">
      <c r="B9" s="21" t="s">
        <v>267</v>
      </c>
      <c r="D9" s="38">
        <v>0.03</v>
      </c>
      <c r="F9" s="38">
        <v>0.02</v>
      </c>
      <c r="H9" s="38">
        <v>0.04</v>
      </c>
      <c r="J9" s="38">
        <v>0.05</v>
      </c>
    </row>
    <row r="11" spans="2:10" x14ac:dyDescent="0.3">
      <c r="B11" s="21" t="s">
        <v>279</v>
      </c>
      <c r="D11" s="38">
        <v>0.03</v>
      </c>
      <c r="F11" s="38">
        <v>0.03</v>
      </c>
      <c r="H11" s="38">
        <v>0.03</v>
      </c>
      <c r="J11" s="38">
        <v>0.03</v>
      </c>
    </row>
    <row r="13" spans="2:10" x14ac:dyDescent="0.3">
      <c r="B13" s="21" t="s">
        <v>280</v>
      </c>
      <c r="D13" s="26">
        <f>D11*D8</f>
        <v>3000</v>
      </c>
      <c r="F13" s="26">
        <f>F11*F8</f>
        <v>3000</v>
      </c>
      <c r="H13" s="26">
        <f>H11*H8</f>
        <v>3000</v>
      </c>
      <c r="J13" s="26">
        <f>J11*J8</f>
        <v>3000</v>
      </c>
    </row>
    <row r="14" spans="2:10" x14ac:dyDescent="0.3">
      <c r="B14" s="21" t="s">
        <v>281</v>
      </c>
      <c r="D14" s="26">
        <f>D8*D9</f>
        <v>3000</v>
      </c>
      <c r="F14" s="26">
        <f>F8*F9</f>
        <v>2000</v>
      </c>
      <c r="H14" s="26">
        <f>H8*H9</f>
        <v>4000</v>
      </c>
      <c r="J14" s="26">
        <f>J8*J9</f>
        <v>5000</v>
      </c>
    </row>
    <row r="16" spans="2:10" x14ac:dyDescent="0.3">
      <c r="B16" s="21" t="s">
        <v>282</v>
      </c>
      <c r="D16" s="26">
        <f>D13-D14</f>
        <v>0</v>
      </c>
      <c r="F16" s="26">
        <f>F13-F14</f>
        <v>1000</v>
      </c>
      <c r="H16" s="26">
        <f>H13-H14</f>
        <v>-1000</v>
      </c>
      <c r="J16" s="26">
        <f>J13-J14</f>
        <v>-2000</v>
      </c>
    </row>
    <row r="18" spans="2:10" x14ac:dyDescent="0.3">
      <c r="B18" s="21" t="s">
        <v>268</v>
      </c>
      <c r="D18" s="26">
        <f>-D11*D8</f>
        <v>-3000</v>
      </c>
      <c r="F18" s="26">
        <f>-F11*F8</f>
        <v>-3000</v>
      </c>
      <c r="H18" s="26">
        <f>-H11*H8</f>
        <v>-3000</v>
      </c>
      <c r="J18" s="26">
        <f>-J11*J8</f>
        <v>-3000</v>
      </c>
    </row>
    <row r="19" spans="2:10" x14ac:dyDescent="0.3">
      <c r="B19" s="21" t="s">
        <v>269</v>
      </c>
      <c r="D19" s="26">
        <f>D16</f>
        <v>0</v>
      </c>
      <c r="F19" s="26">
        <f>F16</f>
        <v>1000</v>
      </c>
      <c r="H19" s="26">
        <f>H16</f>
        <v>-1000</v>
      </c>
      <c r="J19" s="26">
        <f>J16</f>
        <v>-2000</v>
      </c>
    </row>
    <row r="20" spans="2:10" x14ac:dyDescent="0.3">
      <c r="B20" s="35" t="s">
        <v>270</v>
      </c>
      <c r="C20" s="35"/>
      <c r="D20" s="36">
        <f>SUM(D18:D19)</f>
        <v>-3000</v>
      </c>
      <c r="E20" s="35"/>
      <c r="F20" s="36">
        <f>SUM(F18:F19)</f>
        <v>-2000</v>
      </c>
      <c r="G20" s="35"/>
      <c r="H20" s="36">
        <f>SUM(H18:H19)</f>
        <v>-4000</v>
      </c>
      <c r="I20" s="35"/>
      <c r="J20" s="36">
        <f>SUM(J18:J19)</f>
        <v>-5000</v>
      </c>
    </row>
    <row r="22" spans="2:10" x14ac:dyDescent="0.3">
      <c r="B22" s="21" t="s">
        <v>276</v>
      </c>
    </row>
    <row r="23" spans="2:10" x14ac:dyDescent="0.3">
      <c r="B23" s="21" t="s">
        <v>289</v>
      </c>
      <c r="D23" s="26">
        <f>D18</f>
        <v>-3000</v>
      </c>
      <c r="F23" s="26">
        <f>F18</f>
        <v>-3000</v>
      </c>
      <c r="H23" s="26">
        <f>H18</f>
        <v>-3000</v>
      </c>
      <c r="J23" s="26">
        <f>J18</f>
        <v>-3000</v>
      </c>
    </row>
    <row r="24" spans="2:10" x14ac:dyDescent="0.3">
      <c r="B24" s="21" t="s">
        <v>278</v>
      </c>
      <c r="D24" s="26">
        <f>D19</f>
        <v>0</v>
      </c>
      <c r="F24" s="26">
        <f>F19</f>
        <v>1000</v>
      </c>
      <c r="H24" s="26">
        <f>H19</f>
        <v>-1000</v>
      </c>
      <c r="J24" s="26">
        <f>J19</f>
        <v>-2000</v>
      </c>
    </row>
    <row r="25" spans="2:10" ht="15" thickBot="1" x14ac:dyDescent="0.35">
      <c r="B25" s="43" t="s">
        <v>290</v>
      </c>
      <c r="C25" s="44"/>
      <c r="D25" s="45">
        <f>D23+D24</f>
        <v>-3000</v>
      </c>
      <c r="E25" s="44"/>
      <c r="F25" s="45">
        <f>F23+F24</f>
        <v>-2000</v>
      </c>
      <c r="G25" s="44"/>
      <c r="H25" s="45">
        <f>H23+H24</f>
        <v>-4000</v>
      </c>
      <c r="I25" s="44"/>
      <c r="J25" s="46">
        <f>J23+J24</f>
        <v>-5000</v>
      </c>
    </row>
    <row r="26" spans="2:10" ht="15" thickTop="1" x14ac:dyDescent="0.3"/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O18" sqref="O18"/>
    </sheetView>
  </sheetViews>
  <sheetFormatPr defaultRowHeight="14.4" x14ac:dyDescent="0.3"/>
  <cols>
    <col min="1" max="2" width="1" style="21" customWidth="1"/>
    <col min="3" max="8" width="8.88671875" style="21"/>
    <col min="9" max="9" width="3.6640625" style="21" customWidth="1"/>
    <col min="10" max="11" width="1.33203125" style="21" customWidth="1"/>
    <col min="12" max="12" width="8.88671875" style="21"/>
    <col min="13" max="13" width="13" style="21" customWidth="1"/>
    <col min="14" max="16384" width="8.88671875" style="21"/>
  </cols>
  <sheetData>
    <row r="1" spans="1:17" x14ac:dyDescent="0.3">
      <c r="A1" s="33" t="s">
        <v>306</v>
      </c>
      <c r="J1" s="33" t="s">
        <v>300</v>
      </c>
    </row>
    <row r="2" spans="1:17" x14ac:dyDescent="0.3">
      <c r="C2" s="21" t="s">
        <v>293</v>
      </c>
      <c r="F2" s="24">
        <v>3</v>
      </c>
      <c r="K2" s="33" t="s">
        <v>7</v>
      </c>
    </row>
    <row r="3" spans="1:17" x14ac:dyDescent="0.3">
      <c r="C3" s="21" t="s">
        <v>294</v>
      </c>
      <c r="F3" s="37">
        <v>10000</v>
      </c>
      <c r="L3" s="21" t="s">
        <v>8</v>
      </c>
      <c r="O3" s="24">
        <v>700</v>
      </c>
      <c r="P3" s="24">
        <v>700</v>
      </c>
      <c r="Q3" s="24">
        <v>700</v>
      </c>
    </row>
    <row r="4" spans="1:17" x14ac:dyDescent="0.3">
      <c r="F4" s="24">
        <v>1</v>
      </c>
      <c r="G4" s="24">
        <v>2</v>
      </c>
      <c r="H4" s="24">
        <v>3</v>
      </c>
      <c r="L4" s="21" t="s">
        <v>301</v>
      </c>
      <c r="O4" s="21">
        <f>-$F$3*F6</f>
        <v>-350.00000000000006</v>
      </c>
      <c r="P4" s="21">
        <f>-$F$3*G6</f>
        <v>-500</v>
      </c>
      <c r="Q4" s="21">
        <f>-$F$3*H6</f>
        <v>-600</v>
      </c>
    </row>
    <row r="5" spans="1:17" x14ac:dyDescent="0.3">
      <c r="C5" s="21" t="s">
        <v>292</v>
      </c>
      <c r="F5" s="38">
        <v>0.03</v>
      </c>
      <c r="G5" s="38">
        <v>0.03</v>
      </c>
      <c r="H5" s="38">
        <v>0.03</v>
      </c>
      <c r="L5" s="21" t="s">
        <v>309</v>
      </c>
      <c r="O5" s="21">
        <f>F13</f>
        <v>50.000000000000057</v>
      </c>
      <c r="P5" s="21">
        <f>G13</f>
        <v>149.99999999999997</v>
      </c>
      <c r="Q5" s="21">
        <v>0</v>
      </c>
    </row>
    <row r="6" spans="1:17" x14ac:dyDescent="0.3">
      <c r="C6" s="21" t="s">
        <v>267</v>
      </c>
      <c r="F6" s="38">
        <v>3.5000000000000003E-2</v>
      </c>
      <c r="G6" s="38">
        <v>0.05</v>
      </c>
      <c r="H6" s="38">
        <v>0.06</v>
      </c>
      <c r="L6" s="21" t="s">
        <v>232</v>
      </c>
      <c r="Q6" s="21">
        <f>H10</f>
        <v>300</v>
      </c>
    </row>
    <row r="7" spans="1:17" ht="15" thickBot="1" x14ac:dyDescent="0.35">
      <c r="J7" s="48"/>
      <c r="L7" s="47" t="s">
        <v>302</v>
      </c>
      <c r="M7" s="47"/>
      <c r="N7" s="47"/>
      <c r="O7" s="47">
        <f>O3+O4+O5+O6</f>
        <v>400</v>
      </c>
      <c r="P7" s="47">
        <f>P3+P4+P5+P6</f>
        <v>350</v>
      </c>
      <c r="Q7" s="47">
        <f>Q3+Q4+Q5+Q6</f>
        <v>400</v>
      </c>
    </row>
    <row r="8" spans="1:17" ht="15" thickTop="1" x14ac:dyDescent="0.3">
      <c r="C8" s="21" t="s">
        <v>295</v>
      </c>
      <c r="H8" s="21">
        <f>H6*F3</f>
        <v>600</v>
      </c>
      <c r="K8" s="49" t="s">
        <v>14</v>
      </c>
      <c r="L8" s="48"/>
      <c r="M8" s="48"/>
      <c r="N8" s="48"/>
      <c r="O8" s="48"/>
      <c r="P8" s="48"/>
      <c r="Q8" s="48"/>
    </row>
    <row r="9" spans="1:17" x14ac:dyDescent="0.3">
      <c r="C9" s="21" t="s">
        <v>296</v>
      </c>
      <c r="H9" s="21">
        <f>H5*F3</f>
        <v>300</v>
      </c>
      <c r="L9" s="50" t="s">
        <v>302</v>
      </c>
      <c r="O9" s="21">
        <f>O7</f>
        <v>400</v>
      </c>
      <c r="P9" s="21">
        <f>P7</f>
        <v>350</v>
      </c>
      <c r="Q9" s="21">
        <f>Q7</f>
        <v>400</v>
      </c>
    </row>
    <row r="10" spans="1:17" x14ac:dyDescent="0.3">
      <c r="C10" s="51" t="s">
        <v>299</v>
      </c>
      <c r="D10" s="35"/>
      <c r="E10" s="35"/>
      <c r="F10" s="35"/>
      <c r="G10" s="35"/>
      <c r="H10" s="52">
        <f>H8-H9</f>
        <v>300</v>
      </c>
      <c r="L10" s="50" t="s">
        <v>319</v>
      </c>
      <c r="O10" s="21">
        <f>O5</f>
        <v>50.000000000000057</v>
      </c>
      <c r="P10" s="21">
        <f>P5</f>
        <v>149.99999999999997</v>
      </c>
      <c r="Q10" s="21">
        <f>Q5</f>
        <v>0</v>
      </c>
    </row>
    <row r="11" spans="1:17" x14ac:dyDescent="0.3">
      <c r="L11" s="53" t="s">
        <v>17</v>
      </c>
      <c r="M11" s="35"/>
      <c r="N11" s="35"/>
      <c r="O11" s="35">
        <f>O9-O10</f>
        <v>349.99999999999994</v>
      </c>
      <c r="P11" s="35">
        <f>P9-P10</f>
        <v>200.00000000000003</v>
      </c>
      <c r="Q11" s="52">
        <f>Q9-Q10</f>
        <v>400</v>
      </c>
    </row>
    <row r="12" spans="1:17" x14ac:dyDescent="0.3">
      <c r="C12" s="21" t="s">
        <v>305</v>
      </c>
      <c r="F12" s="21">
        <f>F6*F3-F3*F5</f>
        <v>50.000000000000057</v>
      </c>
      <c r="G12" s="21">
        <f>(G6-G5)*F3</f>
        <v>200.00000000000003</v>
      </c>
      <c r="H12" s="24">
        <v>0</v>
      </c>
    </row>
    <row r="13" spans="1:17" x14ac:dyDescent="0.3">
      <c r="C13" s="21" t="s">
        <v>298</v>
      </c>
      <c r="F13" s="21">
        <f>F12-E12</f>
        <v>50.000000000000057</v>
      </c>
      <c r="G13" s="21">
        <f>G12-F12</f>
        <v>149.99999999999997</v>
      </c>
      <c r="H13" s="24">
        <v>0</v>
      </c>
      <c r="L13" s="21" t="s">
        <v>304</v>
      </c>
      <c r="O13" s="21">
        <f>O3+O4+F10</f>
        <v>349.99999999999994</v>
      </c>
      <c r="P13" s="21">
        <f>P3+P4+G10</f>
        <v>200</v>
      </c>
      <c r="Q13" s="21">
        <f>Q3+Q4+H10</f>
        <v>400</v>
      </c>
    </row>
    <row r="15" spans="1:17" x14ac:dyDescent="0.3">
      <c r="C15" s="21" t="s">
        <v>297</v>
      </c>
    </row>
    <row r="16" spans="1:17" x14ac:dyDescent="0.3">
      <c r="C16" s="21" t="s">
        <v>77</v>
      </c>
      <c r="F16" s="21">
        <f>E19</f>
        <v>0</v>
      </c>
      <c r="G16" s="21">
        <f>F19</f>
        <v>50.000000000000057</v>
      </c>
      <c r="H16" s="21">
        <f>G19</f>
        <v>200.00000000000003</v>
      </c>
    </row>
    <row r="17" spans="3:8" x14ac:dyDescent="0.3">
      <c r="C17" s="21" t="s">
        <v>261</v>
      </c>
      <c r="F17" s="21">
        <f>F13</f>
        <v>50.000000000000057</v>
      </c>
      <c r="G17" s="21">
        <f>G13</f>
        <v>149.99999999999997</v>
      </c>
      <c r="H17" s="21">
        <f>H10-G12</f>
        <v>99.999999999999972</v>
      </c>
    </row>
    <row r="18" spans="3:8" x14ac:dyDescent="0.3">
      <c r="C18" s="21" t="s">
        <v>341</v>
      </c>
      <c r="H18" s="21">
        <f>H9</f>
        <v>300</v>
      </c>
    </row>
    <row r="19" spans="3:8" x14ac:dyDescent="0.3">
      <c r="C19" s="21" t="s">
        <v>79</v>
      </c>
      <c r="F19" s="21">
        <f>F16+F17-F18</f>
        <v>50.000000000000057</v>
      </c>
      <c r="G19" s="21">
        <f>G16+G17-G18</f>
        <v>200.00000000000003</v>
      </c>
      <c r="H19" s="21">
        <f>H16+H17-H18</f>
        <v>0</v>
      </c>
    </row>
    <row r="21" spans="3:8" s="48" customFormat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zoomScale="80" zoomScaleNormal="80" workbookViewId="0">
      <selection activeCell="Q20" sqref="Q20"/>
    </sheetView>
  </sheetViews>
  <sheetFormatPr defaultRowHeight="14.4" x14ac:dyDescent="0.3"/>
  <cols>
    <col min="2" max="2" width="26.5546875" customWidth="1"/>
    <col min="5" max="5" width="9.5546875" bestFit="1" customWidth="1"/>
    <col min="6" max="7" width="9.5546875" customWidth="1"/>
    <col min="8" max="8" width="16.77734375" customWidth="1"/>
    <col min="12" max="12" width="9.6640625" customWidth="1"/>
  </cols>
  <sheetData>
    <row r="1" spans="2:14" x14ac:dyDescent="0.3">
      <c r="D1" s="2" t="s">
        <v>22</v>
      </c>
      <c r="E1" s="2" t="s">
        <v>23</v>
      </c>
      <c r="F1" s="2" t="s">
        <v>23</v>
      </c>
      <c r="G1" s="2"/>
    </row>
    <row r="2" spans="2:14" x14ac:dyDescent="0.3">
      <c r="B2" t="s">
        <v>2</v>
      </c>
      <c r="D2">
        <v>300</v>
      </c>
      <c r="E2">
        <f>D9</f>
        <v>75</v>
      </c>
      <c r="F2">
        <f>E9</f>
        <v>-150</v>
      </c>
      <c r="H2" t="s">
        <v>36</v>
      </c>
      <c r="I2">
        <f>-D6</f>
        <v>250</v>
      </c>
    </row>
    <row r="3" spans="2:14" x14ac:dyDescent="0.3">
      <c r="H3" t="s">
        <v>37</v>
      </c>
      <c r="I3">
        <f>I2/4</f>
        <v>62.5</v>
      </c>
    </row>
    <row r="4" spans="2:14" x14ac:dyDescent="0.3">
      <c r="B4" t="s">
        <v>0</v>
      </c>
      <c r="D4">
        <v>200</v>
      </c>
      <c r="E4">
        <f>D4</f>
        <v>200</v>
      </c>
      <c r="F4">
        <f>E4</f>
        <v>200</v>
      </c>
    </row>
    <row r="5" spans="2:14" x14ac:dyDescent="0.3">
      <c r="B5" t="s">
        <v>1</v>
      </c>
      <c r="D5">
        <v>-100</v>
      </c>
      <c r="E5">
        <f>D5</f>
        <v>-100</v>
      </c>
      <c r="F5">
        <f>E5</f>
        <v>-100</v>
      </c>
      <c r="H5" t="s">
        <v>83</v>
      </c>
    </row>
    <row r="6" spans="2:14" x14ac:dyDescent="0.3">
      <c r="B6" t="s">
        <v>18</v>
      </c>
      <c r="D6">
        <v>-250</v>
      </c>
      <c r="E6">
        <v>-250</v>
      </c>
      <c r="F6">
        <v>-250</v>
      </c>
      <c r="H6" t="s">
        <v>320</v>
      </c>
      <c r="J6">
        <f>I9</f>
        <v>0</v>
      </c>
      <c r="K6">
        <f>J9</f>
        <v>0</v>
      </c>
      <c r="L6">
        <f>K9</f>
        <v>0</v>
      </c>
    </row>
    <row r="7" spans="2:14" x14ac:dyDescent="0.3">
      <c r="B7" t="s">
        <v>13</v>
      </c>
      <c r="D7">
        <v>-75</v>
      </c>
      <c r="E7">
        <v>-75</v>
      </c>
      <c r="F7">
        <v>-75</v>
      </c>
      <c r="H7" t="s">
        <v>84</v>
      </c>
      <c r="J7">
        <f>-D6</f>
        <v>250</v>
      </c>
      <c r="K7">
        <f>-E6</f>
        <v>250</v>
      </c>
      <c r="L7">
        <f>-F6</f>
        <v>250</v>
      </c>
    </row>
    <row r="8" spans="2:14" x14ac:dyDescent="0.3">
      <c r="H8" s="17" t="s">
        <v>79</v>
      </c>
      <c r="I8" s="17"/>
      <c r="J8" s="17">
        <f>J6+J7</f>
        <v>250</v>
      </c>
      <c r="K8" s="17">
        <f>K6+K7</f>
        <v>250</v>
      </c>
      <c r="L8" s="17">
        <f>L6+L7</f>
        <v>250</v>
      </c>
    </row>
    <row r="9" spans="2:14" x14ac:dyDescent="0.3">
      <c r="B9" t="s">
        <v>3</v>
      </c>
      <c r="D9">
        <f>SUM(D2:D8)</f>
        <v>75</v>
      </c>
      <c r="E9">
        <f>SUM(E2:E8)</f>
        <v>-150</v>
      </c>
      <c r="F9">
        <f>SUM(F2:F8)</f>
        <v>-375</v>
      </c>
    </row>
    <row r="10" spans="2:14" ht="15" thickBot="1" x14ac:dyDescent="0.35">
      <c r="B10" s="1" t="s">
        <v>28</v>
      </c>
      <c r="C10" s="1"/>
      <c r="D10" s="1">
        <f>D9-D2</f>
        <v>-225</v>
      </c>
      <c r="E10" s="1">
        <f>E9-E2</f>
        <v>-225</v>
      </c>
      <c r="F10" s="1">
        <f>F9-F2</f>
        <v>-225</v>
      </c>
      <c r="G10" s="6"/>
      <c r="H10" t="s">
        <v>321</v>
      </c>
    </row>
    <row r="11" spans="2:14" x14ac:dyDescent="0.3">
      <c r="H11" t="s">
        <v>77</v>
      </c>
      <c r="J11">
        <f>I13</f>
        <v>0</v>
      </c>
      <c r="K11">
        <f>J13</f>
        <v>62.5</v>
      </c>
      <c r="L11">
        <f>K13</f>
        <v>187.5</v>
      </c>
    </row>
    <row r="12" spans="2:14" x14ac:dyDescent="0.3">
      <c r="B12" t="s">
        <v>4</v>
      </c>
      <c r="C12" s="2" t="s">
        <v>29</v>
      </c>
      <c r="D12" s="2" t="s">
        <v>30</v>
      </c>
      <c r="E12" s="2" t="s">
        <v>31</v>
      </c>
      <c r="F12" s="2" t="s">
        <v>31</v>
      </c>
      <c r="G12" s="2"/>
      <c r="H12" t="s">
        <v>26</v>
      </c>
      <c r="J12">
        <f>-D23</f>
        <v>62.5</v>
      </c>
      <c r="K12">
        <f>-E23</f>
        <v>125</v>
      </c>
      <c r="L12">
        <f>-F23</f>
        <v>187.5</v>
      </c>
    </row>
    <row r="13" spans="2:14" x14ac:dyDescent="0.3">
      <c r="B13" t="s">
        <v>263</v>
      </c>
      <c r="C13">
        <v>300</v>
      </c>
      <c r="D13">
        <f>D9</f>
        <v>75</v>
      </c>
      <c r="E13">
        <f>E9</f>
        <v>-150</v>
      </c>
      <c r="F13">
        <f>F9</f>
        <v>-375</v>
      </c>
      <c r="H13" s="17" t="s">
        <v>322</v>
      </c>
      <c r="I13" s="17"/>
      <c r="J13" s="17">
        <f>SUM(J11:J12)</f>
        <v>62.5</v>
      </c>
      <c r="K13" s="17">
        <f>SUM(K11:K12)</f>
        <v>187.5</v>
      </c>
      <c r="L13" s="17">
        <f>SUM(L11:L12)</f>
        <v>375</v>
      </c>
    </row>
    <row r="14" spans="2:14" x14ac:dyDescent="0.3">
      <c r="B14" t="s">
        <v>40</v>
      </c>
      <c r="D14">
        <f>-D6</f>
        <v>250</v>
      </c>
      <c r="E14">
        <f>D14-E6</f>
        <v>500</v>
      </c>
      <c r="F14">
        <f>E14-F6</f>
        <v>750</v>
      </c>
    </row>
    <row r="15" spans="2:14" x14ac:dyDescent="0.3">
      <c r="B15" t="s">
        <v>41</v>
      </c>
      <c r="C15">
        <v>0</v>
      </c>
      <c r="D15" s="5">
        <f>I3</f>
        <v>62.5</v>
      </c>
      <c r="E15" s="5">
        <f>D15+I3*2</f>
        <v>187.5</v>
      </c>
      <c r="F15" s="5">
        <f>E15+D15*3</f>
        <v>375</v>
      </c>
      <c r="G15" s="5"/>
      <c r="H15" t="s">
        <v>260</v>
      </c>
      <c r="N15">
        <f>-D6/4</f>
        <v>62.5</v>
      </c>
    </row>
    <row r="16" spans="2:14" x14ac:dyDescent="0.3">
      <c r="B16" s="17" t="s">
        <v>91</v>
      </c>
      <c r="C16" s="17"/>
      <c r="D16" s="18">
        <f>D14-D15</f>
        <v>187.5</v>
      </c>
      <c r="E16" s="18">
        <f>E14-E15</f>
        <v>312.5</v>
      </c>
      <c r="F16" s="18">
        <f>F14-F15</f>
        <v>375</v>
      </c>
      <c r="G16" s="5"/>
      <c r="H16" t="s">
        <v>77</v>
      </c>
      <c r="J16" s="19">
        <f>I19</f>
        <v>300</v>
      </c>
      <c r="K16" s="19">
        <f>J19</f>
        <v>262.5</v>
      </c>
      <c r="L16" s="19">
        <f>K19</f>
        <v>162.5</v>
      </c>
    </row>
    <row r="17" spans="2:12" x14ac:dyDescent="0.3">
      <c r="B17" s="10" t="s">
        <v>21</v>
      </c>
      <c r="C17" s="11">
        <f>SUM(C13:C15)</f>
        <v>300</v>
      </c>
      <c r="D17" s="11">
        <f>D13+D14-D15</f>
        <v>262.5</v>
      </c>
      <c r="E17" s="11">
        <f>E13+E14-E15</f>
        <v>162.5</v>
      </c>
      <c r="F17" s="11">
        <f>F13+F14-F15</f>
        <v>0</v>
      </c>
      <c r="G17" s="6"/>
      <c r="H17" s="30" t="s">
        <v>261</v>
      </c>
      <c r="J17" s="19">
        <f>D24</f>
        <v>37.5</v>
      </c>
      <c r="K17" s="19">
        <f>E24</f>
        <v>-25</v>
      </c>
      <c r="L17" s="19">
        <f>F24</f>
        <v>-87.5</v>
      </c>
    </row>
    <row r="18" spans="2:12" ht="15" thickBot="1" x14ac:dyDescent="0.35">
      <c r="B18" s="8" t="s">
        <v>6</v>
      </c>
      <c r="C18" s="8">
        <v>300</v>
      </c>
      <c r="D18" s="8">
        <v>250</v>
      </c>
      <c r="E18" s="8">
        <f>E17</f>
        <v>162.5</v>
      </c>
      <c r="F18" s="8">
        <f>F17</f>
        <v>0</v>
      </c>
      <c r="G18" s="6"/>
      <c r="H18" t="s">
        <v>262</v>
      </c>
      <c r="J18" s="19">
        <f>-D30</f>
        <v>75</v>
      </c>
      <c r="K18" s="19">
        <f>-E30</f>
        <v>75</v>
      </c>
      <c r="L18" s="19">
        <f>-F30</f>
        <v>75</v>
      </c>
    </row>
    <row r="19" spans="2:12" ht="15" thickTop="1" x14ac:dyDescent="0.3">
      <c r="H19" s="17" t="s">
        <v>79</v>
      </c>
      <c r="I19" s="17">
        <f>C18</f>
        <v>300</v>
      </c>
      <c r="J19" s="59">
        <f>J16+J17-J18</f>
        <v>262.5</v>
      </c>
      <c r="K19" s="59">
        <f>K16+K17-K18</f>
        <v>162.5</v>
      </c>
      <c r="L19" s="59">
        <f>L16+L17-L18</f>
        <v>0</v>
      </c>
    </row>
    <row r="20" spans="2:12" x14ac:dyDescent="0.3">
      <c r="B20" t="s">
        <v>7</v>
      </c>
      <c r="D20" s="2" t="s">
        <v>22</v>
      </c>
      <c r="E20" s="2" t="s">
        <v>23</v>
      </c>
      <c r="F20" s="2" t="s">
        <v>23</v>
      </c>
      <c r="G20" s="2"/>
    </row>
    <row r="21" spans="2:12" x14ac:dyDescent="0.3">
      <c r="B21" t="s">
        <v>8</v>
      </c>
      <c r="D21">
        <v>200</v>
      </c>
      <c r="E21">
        <v>200</v>
      </c>
      <c r="F21">
        <v>200</v>
      </c>
      <c r="H21" t="s">
        <v>32</v>
      </c>
    </row>
    <row r="22" spans="2:12" x14ac:dyDescent="0.3">
      <c r="B22" t="s">
        <v>9</v>
      </c>
      <c r="D22">
        <f>D5</f>
        <v>-100</v>
      </c>
      <c r="E22">
        <f>E5</f>
        <v>-100</v>
      </c>
      <c r="F22">
        <f>F5</f>
        <v>-100</v>
      </c>
      <c r="H22" t="s">
        <v>8</v>
      </c>
      <c r="J22">
        <f t="shared" ref="J22:L23" si="0">D4</f>
        <v>200</v>
      </c>
      <c r="K22">
        <f t="shared" si="0"/>
        <v>200</v>
      </c>
      <c r="L22">
        <f t="shared" si="0"/>
        <v>200</v>
      </c>
    </row>
    <row r="23" spans="2:12" x14ac:dyDescent="0.3">
      <c r="B23" t="s">
        <v>24</v>
      </c>
      <c r="D23">
        <f>-N15</f>
        <v>-62.5</v>
      </c>
      <c r="E23">
        <f>D23*2</f>
        <v>-125</v>
      </c>
      <c r="F23">
        <f>D23*3</f>
        <v>-187.5</v>
      </c>
      <c r="H23" t="s">
        <v>33</v>
      </c>
      <c r="J23">
        <f t="shared" si="0"/>
        <v>-100</v>
      </c>
      <c r="K23">
        <f t="shared" si="0"/>
        <v>-100</v>
      </c>
      <c r="L23">
        <f t="shared" si="0"/>
        <v>-100</v>
      </c>
    </row>
    <row r="24" spans="2:12" ht="15" thickBot="1" x14ac:dyDescent="0.35">
      <c r="B24" s="8" t="s">
        <v>10</v>
      </c>
      <c r="C24" s="8"/>
      <c r="D24" s="8">
        <f>D21+D22+D23</f>
        <v>37.5</v>
      </c>
      <c r="E24" s="8">
        <f>E21+E22+E23</f>
        <v>-25</v>
      </c>
      <c r="F24" s="8">
        <f>F21+F22+F23</f>
        <v>-87.5</v>
      </c>
      <c r="G24" s="6"/>
      <c r="H24" s="8" t="s">
        <v>34</v>
      </c>
      <c r="I24" s="8"/>
      <c r="J24" s="8">
        <f>SUM(J22:J23)</f>
        <v>100</v>
      </c>
      <c r="K24" s="8">
        <f>SUM(K22:K23)</f>
        <v>100</v>
      </c>
      <c r="L24" s="8">
        <f>SUM(L22:L23)</f>
        <v>100</v>
      </c>
    </row>
    <row r="25" spans="2:12" ht="15" thickTop="1" x14ac:dyDescent="0.3">
      <c r="H25" s="15" t="s">
        <v>42</v>
      </c>
      <c r="J25">
        <f>D6</f>
        <v>-250</v>
      </c>
      <c r="K25">
        <f>E6</f>
        <v>-250</v>
      </c>
      <c r="L25">
        <f>F6</f>
        <v>-250</v>
      </c>
    </row>
    <row r="26" spans="2:12" x14ac:dyDescent="0.3">
      <c r="B26" t="s">
        <v>14</v>
      </c>
      <c r="D26" s="2" t="s">
        <v>22</v>
      </c>
      <c r="E26" s="2" t="s">
        <v>23</v>
      </c>
      <c r="F26" s="2" t="s">
        <v>23</v>
      </c>
      <c r="G26" s="2"/>
    </row>
    <row r="27" spans="2:12" x14ac:dyDescent="0.3">
      <c r="B27" t="s">
        <v>15</v>
      </c>
      <c r="D27" s="4">
        <f>D24</f>
        <v>37.5</v>
      </c>
      <c r="E27" s="4">
        <f>E24</f>
        <v>-25</v>
      </c>
      <c r="F27" s="4">
        <f>F24</f>
        <v>-87.5</v>
      </c>
      <c r="H27" t="s">
        <v>39</v>
      </c>
    </row>
    <row r="28" spans="2:12" x14ac:dyDescent="0.3">
      <c r="B28" t="s">
        <v>26</v>
      </c>
      <c r="D28" s="4">
        <f>N15</f>
        <v>62.5</v>
      </c>
      <c r="E28" s="4">
        <f>D28</f>
        <v>62.5</v>
      </c>
      <c r="F28" s="4">
        <f>E28</f>
        <v>62.5</v>
      </c>
      <c r="H28" t="s">
        <v>35</v>
      </c>
      <c r="J28">
        <f>D24</f>
        <v>37.5</v>
      </c>
      <c r="K28">
        <f>E24</f>
        <v>-25</v>
      </c>
      <c r="L28">
        <f>F24</f>
        <v>-87.5</v>
      </c>
    </row>
    <row r="29" spans="2:12" x14ac:dyDescent="0.3">
      <c r="B29" t="s">
        <v>27</v>
      </c>
      <c r="D29" s="4">
        <f t="shared" ref="D29:F30" si="1">D6</f>
        <v>-250</v>
      </c>
      <c r="E29" s="4">
        <f t="shared" si="1"/>
        <v>-250</v>
      </c>
      <c r="F29" s="4">
        <f t="shared" si="1"/>
        <v>-250</v>
      </c>
      <c r="H29" t="s">
        <v>26</v>
      </c>
      <c r="J29">
        <f>D23</f>
        <v>-62.5</v>
      </c>
      <c r="K29">
        <f>E23</f>
        <v>-125</v>
      </c>
      <c r="L29">
        <f>F23</f>
        <v>-187.5</v>
      </c>
    </row>
    <row r="30" spans="2:12" s="6" customFormat="1" ht="15" thickBot="1" x14ac:dyDescent="0.35">
      <c r="B30" s="6" t="s">
        <v>16</v>
      </c>
      <c r="D30" s="13">
        <f t="shared" si="1"/>
        <v>-75</v>
      </c>
      <c r="E30" s="13">
        <f t="shared" si="1"/>
        <v>-75</v>
      </c>
      <c r="F30" s="13">
        <f t="shared" si="1"/>
        <v>-75</v>
      </c>
      <c r="H30" s="8" t="s">
        <v>38</v>
      </c>
      <c r="I30" s="8"/>
      <c r="J30" s="8">
        <f>J28+J29</f>
        <v>-25</v>
      </c>
      <c r="K30" s="8">
        <f>K28+K29</f>
        <v>-150</v>
      </c>
      <c r="L30" s="8">
        <f>L28+L29</f>
        <v>-275</v>
      </c>
    </row>
    <row r="31" spans="2:12" ht="15.6" thickTop="1" thickBot="1" x14ac:dyDescent="0.35">
      <c r="B31" s="8" t="s">
        <v>17</v>
      </c>
      <c r="C31" s="8"/>
      <c r="D31" s="14">
        <f>SUM(D27:D30)</f>
        <v>-225</v>
      </c>
      <c r="E31" s="14">
        <f>SUM(E27:E30)</f>
        <v>-287.5</v>
      </c>
      <c r="F31" s="14">
        <f>SUM(F27:F30)</f>
        <v>-350</v>
      </c>
      <c r="G31" s="6"/>
      <c r="H31" s="15" t="s">
        <v>42</v>
      </c>
      <c r="J31">
        <f>J25</f>
        <v>-250</v>
      </c>
      <c r="K31">
        <f>K25</f>
        <v>-250</v>
      </c>
      <c r="L31">
        <f>L25</f>
        <v>-250</v>
      </c>
    </row>
    <row r="32" spans="2:12" ht="15" thickTop="1" x14ac:dyDescent="0.3"/>
    <row r="33" spans="2:4" x14ac:dyDescent="0.3">
      <c r="B33" t="s">
        <v>10</v>
      </c>
    </row>
    <row r="34" spans="2:4" x14ac:dyDescent="0.3">
      <c r="B34" t="s">
        <v>11</v>
      </c>
      <c r="D34">
        <f>D18</f>
        <v>250</v>
      </c>
    </row>
    <row r="35" spans="2:4" x14ac:dyDescent="0.3">
      <c r="B35" t="s">
        <v>12</v>
      </c>
      <c r="D35">
        <f>-C18</f>
        <v>-300</v>
      </c>
    </row>
    <row r="36" spans="2:4" ht="15" thickBot="1" x14ac:dyDescent="0.35">
      <c r="B36" s="1" t="s">
        <v>10</v>
      </c>
      <c r="C36" s="1"/>
      <c r="D36" s="1">
        <f>D34+D35</f>
        <v>-50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R19" sqref="R19"/>
    </sheetView>
  </sheetViews>
  <sheetFormatPr defaultRowHeight="14.4" x14ac:dyDescent="0.3"/>
  <cols>
    <col min="1" max="2" width="1" style="21" customWidth="1"/>
    <col min="3" max="5" width="8.88671875" style="21"/>
    <col min="6" max="7" width="9.109375" style="21" bestFit="1" customWidth="1"/>
    <col min="8" max="8" width="10.109375" style="21" bestFit="1" customWidth="1"/>
    <col min="9" max="9" width="3.6640625" style="21" customWidth="1"/>
    <col min="10" max="11" width="1.33203125" style="21" customWidth="1"/>
    <col min="12" max="12" width="8.88671875" style="21"/>
    <col min="13" max="13" width="13" style="21" customWidth="1"/>
    <col min="14" max="14" width="8.88671875" style="21"/>
    <col min="15" max="15" width="10.109375" style="21" bestFit="1" customWidth="1"/>
    <col min="16" max="16" width="9.109375" style="21" bestFit="1" customWidth="1"/>
    <col min="17" max="17" width="10.109375" style="21" bestFit="1" customWidth="1"/>
    <col min="18" max="16384" width="8.88671875" style="21"/>
  </cols>
  <sheetData>
    <row r="1" spans="1:17" x14ac:dyDescent="0.3">
      <c r="A1" s="33" t="s">
        <v>306</v>
      </c>
      <c r="J1" s="33" t="s">
        <v>300</v>
      </c>
    </row>
    <row r="2" spans="1:17" x14ac:dyDescent="0.3">
      <c r="C2" s="21" t="s">
        <v>293</v>
      </c>
      <c r="F2" s="24">
        <v>3</v>
      </c>
      <c r="K2" s="33" t="s">
        <v>7</v>
      </c>
    </row>
    <row r="3" spans="1:17" x14ac:dyDescent="0.3">
      <c r="C3" s="21" t="s">
        <v>310</v>
      </c>
      <c r="F3" s="37">
        <v>100</v>
      </c>
      <c r="L3" s="21" t="s">
        <v>316</v>
      </c>
      <c r="O3" s="22">
        <f>$F$3*F6</f>
        <v>8000</v>
      </c>
      <c r="P3" s="22">
        <f>$F$3*G6</f>
        <v>4500</v>
      </c>
      <c r="Q3" s="22">
        <f>$F$3*H6</f>
        <v>3200</v>
      </c>
    </row>
    <row r="4" spans="1:17" x14ac:dyDescent="0.3">
      <c r="F4" s="24">
        <v>1</v>
      </c>
      <c r="G4" s="24">
        <v>2</v>
      </c>
      <c r="H4" s="24">
        <v>3</v>
      </c>
      <c r="L4" s="21" t="s">
        <v>309</v>
      </c>
      <c r="O4" s="22">
        <f>F13</f>
        <v>2000</v>
      </c>
      <c r="P4" s="22">
        <f>G13</f>
        <v>3500</v>
      </c>
      <c r="Q4" s="22">
        <v>0</v>
      </c>
    </row>
    <row r="5" spans="1:17" x14ac:dyDescent="0.3">
      <c r="C5" s="21" t="s">
        <v>311</v>
      </c>
      <c r="F5" s="54">
        <v>100</v>
      </c>
      <c r="G5" s="54">
        <v>100</v>
      </c>
      <c r="H5" s="54">
        <v>100</v>
      </c>
      <c r="L5" s="21" t="s">
        <v>318</v>
      </c>
      <c r="O5" s="22"/>
      <c r="P5" s="22"/>
      <c r="Q5" s="25">
        <f>H10</f>
        <v>6800</v>
      </c>
    </row>
    <row r="6" spans="1:17" ht="15" thickBot="1" x14ac:dyDescent="0.35">
      <c r="C6" s="21" t="s">
        <v>314</v>
      </c>
      <c r="F6" s="54">
        <v>80</v>
      </c>
      <c r="G6" s="54">
        <v>45</v>
      </c>
      <c r="H6" s="54">
        <v>32</v>
      </c>
      <c r="L6" s="47" t="s">
        <v>302</v>
      </c>
      <c r="M6" s="47"/>
      <c r="N6" s="47"/>
      <c r="O6" s="57">
        <f>O3+O4+O5</f>
        <v>10000</v>
      </c>
      <c r="P6" s="57">
        <f>P3+P4+P5</f>
        <v>8000</v>
      </c>
      <c r="Q6" s="57">
        <f>Q3+Q4+Q5</f>
        <v>10000</v>
      </c>
    </row>
    <row r="7" spans="1:17" ht="15" thickTop="1" x14ac:dyDescent="0.3">
      <c r="J7" s="48"/>
      <c r="K7" s="49" t="s">
        <v>14</v>
      </c>
      <c r="L7" s="48"/>
      <c r="M7" s="48"/>
      <c r="N7" s="48"/>
      <c r="O7" s="58"/>
      <c r="P7" s="58"/>
      <c r="Q7" s="58"/>
    </row>
    <row r="8" spans="1:17" x14ac:dyDescent="0.3">
      <c r="C8" s="21" t="s">
        <v>312</v>
      </c>
      <c r="F8" s="22"/>
      <c r="G8" s="22"/>
      <c r="H8" s="22">
        <f>H5*F3</f>
        <v>10000</v>
      </c>
      <c r="L8" s="50" t="s">
        <v>302</v>
      </c>
      <c r="O8" s="22">
        <f>O6</f>
        <v>10000</v>
      </c>
      <c r="P8" s="22">
        <f>P6</f>
        <v>8000</v>
      </c>
      <c r="Q8" s="22">
        <f>Q6</f>
        <v>10000</v>
      </c>
    </row>
    <row r="9" spans="1:17" x14ac:dyDescent="0.3">
      <c r="C9" s="21" t="s">
        <v>313</v>
      </c>
      <c r="F9" s="22"/>
      <c r="G9" s="22"/>
      <c r="H9" s="22">
        <f>H6*F3</f>
        <v>3200</v>
      </c>
      <c r="L9" s="50" t="s">
        <v>319</v>
      </c>
      <c r="O9" s="22">
        <f>O4</f>
        <v>2000</v>
      </c>
      <c r="P9" s="22">
        <f>P4</f>
        <v>3500</v>
      </c>
      <c r="Q9" s="22">
        <f>Q4</f>
        <v>0</v>
      </c>
    </row>
    <row r="10" spans="1:17" x14ac:dyDescent="0.3">
      <c r="C10" s="51" t="s">
        <v>299</v>
      </c>
      <c r="D10" s="35"/>
      <c r="E10" s="35"/>
      <c r="F10" s="55"/>
      <c r="G10" s="55"/>
      <c r="H10" s="56">
        <f>H8-H9</f>
        <v>6800</v>
      </c>
      <c r="L10" s="50" t="s">
        <v>303</v>
      </c>
      <c r="O10" s="22"/>
      <c r="P10" s="22"/>
      <c r="Q10" s="22"/>
    </row>
    <row r="11" spans="1:17" x14ac:dyDescent="0.3">
      <c r="F11" s="22"/>
      <c r="G11" s="22"/>
      <c r="H11" s="22"/>
      <c r="L11" s="53" t="s">
        <v>17</v>
      </c>
      <c r="M11" s="35"/>
      <c r="N11" s="35"/>
      <c r="O11" s="55">
        <f>O8-O9</f>
        <v>8000</v>
      </c>
      <c r="P11" s="55">
        <f>P8-P9</f>
        <v>4500</v>
      </c>
      <c r="Q11" s="55">
        <f>Q8-Q9</f>
        <v>10000</v>
      </c>
    </row>
    <row r="12" spans="1:17" x14ac:dyDescent="0.3">
      <c r="C12" s="21" t="s">
        <v>315</v>
      </c>
      <c r="F12" s="22">
        <f>(F5-F6)*$F$3</f>
        <v>2000</v>
      </c>
      <c r="G12" s="22">
        <f>(G5-G6)*$F$3</f>
        <v>5500</v>
      </c>
      <c r="H12" s="22">
        <f>(H5-H6)*$F$3</f>
        <v>6800</v>
      </c>
      <c r="O12" s="22"/>
      <c r="P12" s="22"/>
      <c r="Q12" s="22"/>
    </row>
    <row r="13" spans="1:17" x14ac:dyDescent="0.3">
      <c r="C13" s="21" t="s">
        <v>298</v>
      </c>
      <c r="F13" s="22">
        <f>F12-E12</f>
        <v>2000</v>
      </c>
      <c r="G13" s="22">
        <f>G12-F12</f>
        <v>3500</v>
      </c>
      <c r="H13" s="22">
        <f>H12-G12</f>
        <v>1300</v>
      </c>
      <c r="L13" s="21" t="s">
        <v>317</v>
      </c>
      <c r="O13" s="22">
        <f>O3+F10</f>
        <v>8000</v>
      </c>
      <c r="P13" s="22">
        <f>P3+G10</f>
        <v>4500</v>
      </c>
      <c r="Q13" s="22">
        <f>Q3+H10</f>
        <v>10000</v>
      </c>
    </row>
    <row r="21" s="48" customFormat="1" x14ac:dyDescent="0.3"/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G2" sqref="G2"/>
    </sheetView>
  </sheetViews>
  <sheetFormatPr defaultRowHeight="14.4" x14ac:dyDescent="0.3"/>
  <cols>
    <col min="1" max="2" width="1" style="21" customWidth="1"/>
    <col min="3" max="8" width="8.88671875" style="21"/>
    <col min="9" max="9" width="3.6640625" style="21" customWidth="1"/>
    <col min="10" max="11" width="1.33203125" style="21" customWidth="1"/>
    <col min="12" max="16384" width="8.88671875" style="21"/>
  </cols>
  <sheetData>
    <row r="1" spans="1:17" x14ac:dyDescent="0.3">
      <c r="A1" s="33" t="s">
        <v>306</v>
      </c>
      <c r="J1" s="33" t="s">
        <v>237</v>
      </c>
    </row>
    <row r="2" spans="1:17" x14ac:dyDescent="0.3">
      <c r="C2" s="21" t="s">
        <v>293</v>
      </c>
      <c r="F2" s="24">
        <v>3</v>
      </c>
      <c r="K2" s="33" t="s">
        <v>7</v>
      </c>
    </row>
    <row r="3" spans="1:17" x14ac:dyDescent="0.3">
      <c r="C3" s="21" t="s">
        <v>294</v>
      </c>
      <c r="F3" s="37">
        <v>10000</v>
      </c>
      <c r="L3" s="21" t="s">
        <v>8</v>
      </c>
      <c r="O3" s="24">
        <v>700</v>
      </c>
      <c r="P3" s="24">
        <v>700</v>
      </c>
      <c r="Q3" s="24">
        <v>700</v>
      </c>
    </row>
    <row r="4" spans="1:17" x14ac:dyDescent="0.3">
      <c r="F4" s="24">
        <v>1</v>
      </c>
      <c r="G4" s="24">
        <v>2</v>
      </c>
      <c r="H4" s="24">
        <v>3</v>
      </c>
      <c r="L4" s="21" t="s">
        <v>301</v>
      </c>
      <c r="O4" s="21">
        <f>-$F$3*F6</f>
        <v>-350.00000000000006</v>
      </c>
      <c r="P4" s="21">
        <f>-$F$3*G6</f>
        <v>-500</v>
      </c>
      <c r="Q4" s="21">
        <f>-$F$3*H6</f>
        <v>-600</v>
      </c>
    </row>
    <row r="5" spans="1:17" x14ac:dyDescent="0.3">
      <c r="C5" s="21" t="s">
        <v>292</v>
      </c>
      <c r="F5" s="38">
        <v>0.03</v>
      </c>
      <c r="G5" s="38">
        <v>0.03</v>
      </c>
      <c r="H5" s="38">
        <v>0.03</v>
      </c>
      <c r="L5" s="21" t="s">
        <v>308</v>
      </c>
      <c r="Q5" s="21">
        <f>H10</f>
        <v>300</v>
      </c>
    </row>
    <row r="6" spans="1:17" ht="15" thickBot="1" x14ac:dyDescent="0.35">
      <c r="C6" s="21" t="s">
        <v>267</v>
      </c>
      <c r="F6" s="38">
        <v>3.5000000000000003E-2</v>
      </c>
      <c r="G6" s="38">
        <v>0.05</v>
      </c>
      <c r="H6" s="38">
        <v>0.06</v>
      </c>
      <c r="L6" s="47" t="s">
        <v>302</v>
      </c>
      <c r="M6" s="47"/>
      <c r="N6" s="47"/>
      <c r="O6" s="47">
        <f>O3+O4+O5</f>
        <v>349.99999999999994</v>
      </c>
      <c r="P6" s="47">
        <f>P3+P4+P5</f>
        <v>200</v>
      </c>
      <c r="Q6" s="47">
        <f>Q3+Q4+Q5</f>
        <v>400</v>
      </c>
    </row>
    <row r="7" spans="1:17" ht="15" thickTop="1" x14ac:dyDescent="0.3">
      <c r="L7" s="21" t="s">
        <v>75</v>
      </c>
    </row>
    <row r="8" spans="1:17" x14ac:dyDescent="0.3">
      <c r="C8" s="21" t="s">
        <v>295</v>
      </c>
      <c r="H8" s="21">
        <f>H6*F3</f>
        <v>600</v>
      </c>
    </row>
    <row r="9" spans="1:17" x14ac:dyDescent="0.3">
      <c r="C9" s="21" t="s">
        <v>296</v>
      </c>
      <c r="H9" s="21">
        <f>H5*F3</f>
        <v>300</v>
      </c>
      <c r="J9" s="48"/>
      <c r="K9" s="49" t="s">
        <v>14</v>
      </c>
      <c r="L9" s="48"/>
      <c r="M9" s="48"/>
      <c r="N9" s="48"/>
      <c r="O9" s="48"/>
      <c r="P9" s="48"/>
      <c r="Q9" s="48"/>
    </row>
    <row r="10" spans="1:17" x14ac:dyDescent="0.3">
      <c r="C10" s="51" t="s">
        <v>299</v>
      </c>
      <c r="D10" s="35"/>
      <c r="E10" s="35"/>
      <c r="F10" s="35"/>
      <c r="G10" s="35"/>
      <c r="H10" s="52">
        <f>H8-H9</f>
        <v>300</v>
      </c>
      <c r="L10" s="50" t="s">
        <v>302</v>
      </c>
      <c r="O10" s="21">
        <f>O6</f>
        <v>349.99999999999994</v>
      </c>
      <c r="P10" s="21">
        <f>P6</f>
        <v>200</v>
      </c>
      <c r="Q10" s="21">
        <f>Q6</f>
        <v>400</v>
      </c>
    </row>
    <row r="11" spans="1:17" x14ac:dyDescent="0.3">
      <c r="L11" s="50"/>
    </row>
    <row r="12" spans="1:17" x14ac:dyDescent="0.3">
      <c r="C12" s="21" t="s">
        <v>305</v>
      </c>
      <c r="F12" s="21">
        <f>F6*F3-F3*F5</f>
        <v>50.000000000000057</v>
      </c>
      <c r="G12" s="21">
        <f>(G6-G5)*F3</f>
        <v>200.00000000000003</v>
      </c>
      <c r="H12" s="24">
        <v>0</v>
      </c>
      <c r="L12" s="50"/>
    </row>
    <row r="13" spans="1:17" x14ac:dyDescent="0.3">
      <c r="C13" s="21" t="s">
        <v>298</v>
      </c>
      <c r="F13" s="21">
        <f>F12-E12</f>
        <v>50.000000000000057</v>
      </c>
      <c r="G13" s="21">
        <f>G12-F12</f>
        <v>149.99999999999997</v>
      </c>
      <c r="H13" s="24">
        <v>0</v>
      </c>
      <c r="L13" s="53" t="s">
        <v>17</v>
      </c>
      <c r="M13" s="35"/>
      <c r="N13" s="35"/>
      <c r="O13" s="35">
        <f>SUM(O10:O12)</f>
        <v>349.99999999999994</v>
      </c>
      <c r="P13" s="35">
        <f>SUM(P10:P12)</f>
        <v>200</v>
      </c>
      <c r="Q13" s="52">
        <f>SUM(Q10:Q12)</f>
        <v>400</v>
      </c>
    </row>
    <row r="15" spans="1:17" x14ac:dyDescent="0.3">
      <c r="C15" s="21" t="s">
        <v>307</v>
      </c>
      <c r="F15" s="21">
        <f>F13</f>
        <v>50.000000000000057</v>
      </c>
      <c r="G15" s="21">
        <f>G13</f>
        <v>149.99999999999997</v>
      </c>
      <c r="H15" s="21">
        <f>H13</f>
        <v>0</v>
      </c>
      <c r="L15" s="21" t="s">
        <v>304</v>
      </c>
      <c r="O15" s="21">
        <f>O3+O4+F10</f>
        <v>349.99999999999994</v>
      </c>
      <c r="P15" s="21">
        <f>P3+P4+G10</f>
        <v>200</v>
      </c>
      <c r="Q15" s="21">
        <f>Q3+Q4+H10</f>
        <v>400</v>
      </c>
    </row>
    <row r="21" s="48" customFormat="1" x14ac:dyDescent="0.3"/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H26" sqref="H26"/>
    </sheetView>
  </sheetViews>
  <sheetFormatPr defaultRowHeight="14.4" x14ac:dyDescent="0.3"/>
  <cols>
    <col min="1" max="2" width="1" style="21" customWidth="1"/>
    <col min="3" max="8" width="8.88671875" style="21"/>
    <col min="9" max="9" width="3.6640625" style="21" customWidth="1"/>
    <col min="10" max="11" width="1.33203125" style="21" customWidth="1"/>
    <col min="12" max="16384" width="8.88671875" style="21"/>
  </cols>
  <sheetData>
    <row r="1" spans="1:17" x14ac:dyDescent="0.3">
      <c r="A1" s="33" t="s">
        <v>306</v>
      </c>
      <c r="J1" s="33" t="s">
        <v>237</v>
      </c>
    </row>
    <row r="2" spans="1:17" x14ac:dyDescent="0.3">
      <c r="C2" s="21" t="s">
        <v>293</v>
      </c>
      <c r="F2" s="24">
        <v>3</v>
      </c>
      <c r="K2" s="33" t="s">
        <v>7</v>
      </c>
    </row>
    <row r="3" spans="1:17" x14ac:dyDescent="0.3">
      <c r="C3" s="21" t="s">
        <v>294</v>
      </c>
      <c r="F3" s="37">
        <v>10000</v>
      </c>
      <c r="L3" s="21" t="s">
        <v>8</v>
      </c>
      <c r="O3" s="24">
        <v>700</v>
      </c>
      <c r="P3" s="24">
        <v>700</v>
      </c>
      <c r="Q3" s="24">
        <v>700</v>
      </c>
    </row>
    <row r="4" spans="1:17" x14ac:dyDescent="0.3">
      <c r="F4" s="24">
        <v>1</v>
      </c>
      <c r="G4" s="24">
        <v>2</v>
      </c>
      <c r="H4" s="24">
        <v>3</v>
      </c>
      <c r="L4" s="21" t="s">
        <v>301</v>
      </c>
      <c r="O4" s="21">
        <f>-$F$3*F6</f>
        <v>-350.00000000000006</v>
      </c>
      <c r="P4" s="21">
        <f>-$F$3*G6</f>
        <v>-500</v>
      </c>
      <c r="Q4" s="21">
        <f>-$F$3*H6</f>
        <v>-600</v>
      </c>
    </row>
    <row r="5" spans="1:17" x14ac:dyDescent="0.3">
      <c r="C5" s="21" t="s">
        <v>292</v>
      </c>
      <c r="F5" s="38">
        <v>0.03</v>
      </c>
      <c r="G5" s="38">
        <v>0.03</v>
      </c>
      <c r="H5" s="38">
        <v>0.03</v>
      </c>
      <c r="L5" s="21" t="s">
        <v>308</v>
      </c>
      <c r="Q5" s="21">
        <f>H10</f>
        <v>300</v>
      </c>
    </row>
    <row r="6" spans="1:17" ht="15" thickBot="1" x14ac:dyDescent="0.35">
      <c r="C6" s="21" t="s">
        <v>267</v>
      </c>
      <c r="F6" s="38">
        <v>3.5000000000000003E-2</v>
      </c>
      <c r="G6" s="38">
        <v>0.05</v>
      </c>
      <c r="H6" s="38">
        <v>0.06</v>
      </c>
      <c r="L6" s="47" t="s">
        <v>302</v>
      </c>
      <c r="M6" s="47"/>
      <c r="N6" s="47"/>
      <c r="O6" s="47">
        <f>O3+O4+O5</f>
        <v>349.99999999999994</v>
      </c>
      <c r="P6" s="47">
        <f>P3+P4+P5</f>
        <v>200</v>
      </c>
      <c r="Q6" s="47">
        <f>Q3+Q4+Q5</f>
        <v>400</v>
      </c>
    </row>
    <row r="7" spans="1:17" ht="15" thickTop="1" x14ac:dyDescent="0.3">
      <c r="L7" s="21" t="s">
        <v>75</v>
      </c>
    </row>
    <row r="8" spans="1:17" x14ac:dyDescent="0.3">
      <c r="C8" s="21" t="s">
        <v>295</v>
      </c>
      <c r="H8" s="21">
        <f>H6*F3</f>
        <v>600</v>
      </c>
    </row>
    <row r="9" spans="1:17" x14ac:dyDescent="0.3">
      <c r="C9" s="21" t="s">
        <v>296</v>
      </c>
      <c r="H9" s="21">
        <f>H5*F3</f>
        <v>300</v>
      </c>
      <c r="J9" s="48"/>
      <c r="K9" s="49" t="s">
        <v>14</v>
      </c>
      <c r="L9" s="48"/>
      <c r="M9" s="48"/>
      <c r="N9" s="48"/>
      <c r="O9" s="48"/>
      <c r="P9" s="48"/>
      <c r="Q9" s="48"/>
    </row>
    <row r="10" spans="1:17" x14ac:dyDescent="0.3">
      <c r="C10" s="51" t="s">
        <v>299</v>
      </c>
      <c r="D10" s="35"/>
      <c r="E10" s="35"/>
      <c r="F10" s="35"/>
      <c r="G10" s="35"/>
      <c r="H10" s="52">
        <f>H8-H9</f>
        <v>300</v>
      </c>
      <c r="L10" s="50" t="s">
        <v>302</v>
      </c>
      <c r="O10" s="21">
        <f>O6</f>
        <v>349.99999999999994</v>
      </c>
      <c r="P10" s="21">
        <f>P6</f>
        <v>200</v>
      </c>
      <c r="Q10" s="21">
        <f>Q6</f>
        <v>400</v>
      </c>
    </row>
    <row r="11" spans="1:17" x14ac:dyDescent="0.3">
      <c r="L11" s="50"/>
    </row>
    <row r="12" spans="1:17" x14ac:dyDescent="0.3">
      <c r="C12" s="21" t="s">
        <v>305</v>
      </c>
      <c r="F12" s="21">
        <f>F6*F3-F3*F5</f>
        <v>50.000000000000057</v>
      </c>
      <c r="G12" s="21">
        <f>(G6-G5)*F3</f>
        <v>200.00000000000003</v>
      </c>
      <c r="H12" s="24">
        <v>0</v>
      </c>
      <c r="L12" s="50"/>
    </row>
    <row r="13" spans="1:17" x14ac:dyDescent="0.3">
      <c r="C13" s="21" t="s">
        <v>298</v>
      </c>
      <c r="F13" s="21">
        <f>F12-E12</f>
        <v>50.000000000000057</v>
      </c>
      <c r="G13" s="21">
        <f>G12-F12</f>
        <v>149.99999999999997</v>
      </c>
      <c r="H13" s="24">
        <v>0</v>
      </c>
      <c r="L13" s="53" t="s">
        <v>17</v>
      </c>
      <c r="M13" s="35"/>
      <c r="N13" s="35"/>
      <c r="O13" s="35">
        <f>SUM(O10:O12)</f>
        <v>349.99999999999994</v>
      </c>
      <c r="P13" s="35">
        <f>SUM(P10:P12)</f>
        <v>200</v>
      </c>
      <c r="Q13" s="52">
        <f>SUM(Q10:Q12)</f>
        <v>400</v>
      </c>
    </row>
    <row r="15" spans="1:17" x14ac:dyDescent="0.3">
      <c r="C15" s="21" t="s">
        <v>307</v>
      </c>
      <c r="F15" s="21">
        <f>F13</f>
        <v>50.000000000000057</v>
      </c>
      <c r="G15" s="21">
        <f>G13</f>
        <v>149.99999999999997</v>
      </c>
      <c r="H15" s="21">
        <f>H13</f>
        <v>0</v>
      </c>
      <c r="L15" s="21" t="s">
        <v>304</v>
      </c>
      <c r="O15" s="21">
        <f>O3+O4+F10</f>
        <v>349.99999999999994</v>
      </c>
      <c r="P15" s="21">
        <f>P3+P4+G10</f>
        <v>200</v>
      </c>
      <c r="Q15" s="21">
        <f>Q3+Q4+H10</f>
        <v>400</v>
      </c>
    </row>
    <row r="21" s="48" customFormat="1" x14ac:dyDescent="0.3"/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0"/>
  <sheetViews>
    <sheetView topLeftCell="A7" workbookViewId="0">
      <selection activeCell="I16" sqref="I16"/>
    </sheetView>
  </sheetViews>
  <sheetFormatPr defaultRowHeight="14.4" x14ac:dyDescent="0.3"/>
  <cols>
    <col min="2" max="2" width="28" customWidth="1"/>
  </cols>
  <sheetData>
    <row r="3" spans="2:6" x14ac:dyDescent="0.3">
      <c r="C3">
        <v>2013</v>
      </c>
      <c r="D3">
        <v>2014</v>
      </c>
      <c r="E3">
        <v>2015</v>
      </c>
      <c r="F3">
        <v>2016</v>
      </c>
    </row>
    <row r="4" spans="2:6" x14ac:dyDescent="0.3">
      <c r="B4" t="s">
        <v>226</v>
      </c>
      <c r="C4">
        <v>100</v>
      </c>
      <c r="D4">
        <v>80</v>
      </c>
      <c r="E4">
        <v>45</v>
      </c>
      <c r="F4">
        <v>35</v>
      </c>
    </row>
    <row r="6" spans="2:6" x14ac:dyDescent="0.3">
      <c r="B6" t="s">
        <v>227</v>
      </c>
      <c r="F6">
        <v>1000</v>
      </c>
    </row>
    <row r="8" spans="2:6" x14ac:dyDescent="0.3">
      <c r="B8" t="s">
        <v>228</v>
      </c>
    </row>
    <row r="10" spans="2:6" x14ac:dyDescent="0.3">
      <c r="B10" t="s">
        <v>229</v>
      </c>
      <c r="F10">
        <v>100</v>
      </c>
    </row>
    <row r="11" spans="2:6" x14ac:dyDescent="0.3">
      <c r="B11" t="s">
        <v>230</v>
      </c>
      <c r="F11">
        <f>F10*F6</f>
        <v>100000</v>
      </c>
    </row>
    <row r="13" spans="2:6" x14ac:dyDescent="0.3">
      <c r="B13" t="s">
        <v>231</v>
      </c>
      <c r="F13">
        <f>F6*F4</f>
        <v>35000</v>
      </c>
    </row>
    <row r="15" spans="2:6" x14ac:dyDescent="0.3">
      <c r="B15" t="s">
        <v>232</v>
      </c>
      <c r="F15">
        <f>F11-F13</f>
        <v>65000</v>
      </c>
    </row>
    <row r="18" spans="2:8" x14ac:dyDescent="0.3">
      <c r="B18" t="s">
        <v>233</v>
      </c>
    </row>
    <row r="19" spans="2:8" x14ac:dyDescent="0.3">
      <c r="B19" t="s">
        <v>227</v>
      </c>
      <c r="C19">
        <f>F6</f>
        <v>1000</v>
      </c>
      <c r="D19">
        <f>C19</f>
        <v>1000</v>
      </c>
      <c r="E19">
        <f>D19</f>
        <v>1000</v>
      </c>
      <c r="F19">
        <f>E19</f>
        <v>1000</v>
      </c>
    </row>
    <row r="20" spans="2:8" x14ac:dyDescent="0.3">
      <c r="B20" t="s">
        <v>234</v>
      </c>
      <c r="C20">
        <f>C4</f>
        <v>100</v>
      </c>
      <c r="D20">
        <f>D4</f>
        <v>80</v>
      </c>
      <c r="E20">
        <f>E4</f>
        <v>45</v>
      </c>
      <c r="F20">
        <f>F4</f>
        <v>35</v>
      </c>
    </row>
    <row r="21" spans="2:8" x14ac:dyDescent="0.3">
      <c r="B21" t="s">
        <v>235</v>
      </c>
      <c r="C21">
        <f>$C$20</f>
        <v>100</v>
      </c>
      <c r="D21">
        <f>$C$20</f>
        <v>100</v>
      </c>
      <c r="E21">
        <f>$C$20</f>
        <v>100</v>
      </c>
      <c r="F21">
        <f>$C$20</f>
        <v>100</v>
      </c>
    </row>
    <row r="22" spans="2:8" x14ac:dyDescent="0.3">
      <c r="B22" t="s">
        <v>28</v>
      </c>
      <c r="C22">
        <f>C21-C20</f>
        <v>0</v>
      </c>
      <c r="D22">
        <f>D21-D20</f>
        <v>20</v>
      </c>
      <c r="E22">
        <f>E21-E20</f>
        <v>55</v>
      </c>
      <c r="F22">
        <f>F21-F20</f>
        <v>65</v>
      </c>
    </row>
    <row r="23" spans="2:8" x14ac:dyDescent="0.3">
      <c r="B23" t="s">
        <v>233</v>
      </c>
      <c r="C23">
        <f>C22*C19</f>
        <v>0</v>
      </c>
      <c r="D23">
        <f>D22*D19</f>
        <v>20000</v>
      </c>
      <c r="E23">
        <f>E22*E19</f>
        <v>55000</v>
      </c>
      <c r="F23">
        <f>F22*F19</f>
        <v>65000</v>
      </c>
    </row>
    <row r="25" spans="2:8" x14ac:dyDescent="0.3">
      <c r="B25" t="s">
        <v>236</v>
      </c>
      <c r="D25">
        <f>D23-C23</f>
        <v>20000</v>
      </c>
      <c r="E25">
        <f>E23-D23</f>
        <v>35000</v>
      </c>
      <c r="F25">
        <f>F23-E23</f>
        <v>10000</v>
      </c>
    </row>
    <row r="27" spans="2:8" x14ac:dyDescent="0.3">
      <c r="B27" t="s">
        <v>239</v>
      </c>
    </row>
    <row r="28" spans="2:8" x14ac:dyDescent="0.3">
      <c r="C28">
        <f>C3</f>
        <v>2013</v>
      </c>
      <c r="D28">
        <f>D3</f>
        <v>2014</v>
      </c>
      <c r="E28">
        <f>E3</f>
        <v>2015</v>
      </c>
      <c r="F28">
        <f>F3</f>
        <v>2016</v>
      </c>
      <c r="H28" t="s">
        <v>21</v>
      </c>
    </row>
    <row r="29" spans="2:8" x14ac:dyDescent="0.3">
      <c r="B29" t="s">
        <v>237</v>
      </c>
      <c r="F29">
        <f>F15</f>
        <v>65000</v>
      </c>
      <c r="H29">
        <f>F29</f>
        <v>65000</v>
      </c>
    </row>
    <row r="30" spans="2:8" x14ac:dyDescent="0.3">
      <c r="B30" t="s">
        <v>238</v>
      </c>
      <c r="D30">
        <f>D25</f>
        <v>20000</v>
      </c>
      <c r="E30">
        <f>E25</f>
        <v>35000</v>
      </c>
      <c r="F30">
        <f>F25</f>
        <v>10000</v>
      </c>
      <c r="H30">
        <f>SUM(D30:F30)</f>
        <v>65000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5"/>
  <sheetViews>
    <sheetView workbookViewId="0">
      <selection activeCell="M10" sqref="M10"/>
    </sheetView>
  </sheetViews>
  <sheetFormatPr defaultRowHeight="14.4" x14ac:dyDescent="0.3"/>
  <cols>
    <col min="4" max="4" width="13.88671875" customWidth="1"/>
  </cols>
  <sheetData>
    <row r="2" spans="3:10" x14ac:dyDescent="0.3">
      <c r="C2" t="s">
        <v>349</v>
      </c>
      <c r="F2" s="32">
        <v>0.1</v>
      </c>
      <c r="G2" s="32">
        <v>0.1</v>
      </c>
      <c r="H2" s="32">
        <v>0.1</v>
      </c>
      <c r="I2" s="32">
        <v>0.1</v>
      </c>
      <c r="J2" s="32">
        <v>0.1</v>
      </c>
    </row>
    <row r="3" spans="3:10" x14ac:dyDescent="0.3">
      <c r="C3" t="s">
        <v>350</v>
      </c>
      <c r="F3" s="32">
        <v>0.02</v>
      </c>
      <c r="G3" s="32">
        <v>0.02</v>
      </c>
      <c r="H3" s="32">
        <v>0.02</v>
      </c>
      <c r="I3" s="32">
        <v>0.02</v>
      </c>
      <c r="J3" s="32">
        <v>0.02</v>
      </c>
    </row>
    <row r="5" spans="3:10" x14ac:dyDescent="0.3">
      <c r="C5" t="s">
        <v>46</v>
      </c>
      <c r="E5" s="3">
        <v>20</v>
      </c>
      <c r="F5" s="3">
        <f>E5*(1+F2)/(1+F3)</f>
        <v>21.56862745098039</v>
      </c>
      <c r="G5" s="3">
        <f>F5*(1+G2)/(1+G3)</f>
        <v>23.260284505959248</v>
      </c>
      <c r="H5" s="3">
        <f>G5*(1+H2)/(1+H3)</f>
        <v>25.084620545642331</v>
      </c>
      <c r="I5" s="3">
        <f>H5*(1+I2)/(1+I3)</f>
        <v>27.052041764908395</v>
      </c>
      <c r="J5" s="3">
        <f>I5*(1+J2)/(1+J3)</f>
        <v>29.173770530783564</v>
      </c>
    </row>
    <row r="7" spans="3:10" x14ac:dyDescent="0.3">
      <c r="C7" t="s">
        <v>351</v>
      </c>
    </row>
    <row r="8" spans="3:10" x14ac:dyDescent="0.3">
      <c r="C8" t="s">
        <v>354</v>
      </c>
      <c r="E8">
        <v>1000</v>
      </c>
      <c r="F8">
        <v>1000</v>
      </c>
      <c r="G8">
        <v>1000</v>
      </c>
      <c r="H8">
        <v>1000</v>
      </c>
      <c r="I8">
        <v>1000</v>
      </c>
      <c r="J8">
        <v>1000</v>
      </c>
    </row>
    <row r="9" spans="3:10" x14ac:dyDescent="0.3">
      <c r="C9" t="s">
        <v>352</v>
      </c>
      <c r="E9" s="3">
        <f t="shared" ref="E9:J9" si="0">E8/E5</f>
        <v>50</v>
      </c>
      <c r="F9" s="3">
        <f t="shared" si="0"/>
        <v>46.363636363636367</v>
      </c>
      <c r="G9" s="3">
        <f t="shared" si="0"/>
        <v>42.991735537190081</v>
      </c>
      <c r="H9" s="3">
        <f t="shared" si="0"/>
        <v>39.865063861758067</v>
      </c>
      <c r="I9" s="3">
        <f t="shared" si="0"/>
        <v>36.965786489993846</v>
      </c>
      <c r="J9" s="3">
        <f t="shared" si="0"/>
        <v>34.277365654357929</v>
      </c>
    </row>
    <row r="11" spans="3:10" x14ac:dyDescent="0.3">
      <c r="C11" t="s">
        <v>353</v>
      </c>
      <c r="F11" s="3">
        <f>E9-F9</f>
        <v>3.6363636363636331</v>
      </c>
      <c r="G11" s="3">
        <f>F9-G9</f>
        <v>3.3719008264462857</v>
      </c>
      <c r="H11" s="3">
        <f>G9-H9</f>
        <v>3.1266716754320143</v>
      </c>
      <c r="I11" s="3">
        <f>H9-I9</f>
        <v>2.8992773717642208</v>
      </c>
      <c r="J11" s="3">
        <f>I9-J9</f>
        <v>2.6884208356359167</v>
      </c>
    </row>
    <row r="13" spans="3:10" x14ac:dyDescent="0.3">
      <c r="C13" t="s">
        <v>356</v>
      </c>
      <c r="J13">
        <f>J8</f>
        <v>1000</v>
      </c>
    </row>
    <row r="14" spans="3:10" x14ac:dyDescent="0.3">
      <c r="C14" t="s">
        <v>355</v>
      </c>
      <c r="J14" s="3">
        <f>J13/J5</f>
        <v>34.277365654357929</v>
      </c>
    </row>
    <row r="16" spans="3:10" x14ac:dyDescent="0.3">
      <c r="C16" t="s">
        <v>250</v>
      </c>
    </row>
    <row r="17" spans="3:10" x14ac:dyDescent="0.3">
      <c r="C17" t="s">
        <v>357</v>
      </c>
      <c r="E17" s="3">
        <f>E9</f>
        <v>50</v>
      </c>
    </row>
    <row r="18" spans="3:10" x14ac:dyDescent="0.3">
      <c r="C18" t="s">
        <v>358</v>
      </c>
      <c r="J18" s="3">
        <f>J14</f>
        <v>34.277365654357929</v>
      </c>
    </row>
    <row r="19" spans="3:10" x14ac:dyDescent="0.3">
      <c r="C19" t="s">
        <v>362</v>
      </c>
      <c r="J19" s="3">
        <f>E17-J18</f>
        <v>15.722634345642071</v>
      </c>
    </row>
    <row r="21" spans="3:10" x14ac:dyDescent="0.3">
      <c r="C21" t="s">
        <v>359</v>
      </c>
    </row>
    <row r="22" spans="3:10" x14ac:dyDescent="0.3">
      <c r="C22" t="s">
        <v>77</v>
      </c>
      <c r="E22">
        <v>0</v>
      </c>
      <c r="F22" s="3">
        <f>E25</f>
        <v>0</v>
      </c>
      <c r="G22" s="3">
        <f>F25</f>
        <v>3.6363636363636331</v>
      </c>
      <c r="H22" s="3">
        <f>G25</f>
        <v>7.0082644628099189</v>
      </c>
      <c r="I22" s="3">
        <f>H25</f>
        <v>10.134936138241933</v>
      </c>
      <c r="J22" s="3">
        <f>I25</f>
        <v>13.034213510006154</v>
      </c>
    </row>
    <row r="23" spans="3:10" x14ac:dyDescent="0.3">
      <c r="C23" t="s">
        <v>360</v>
      </c>
      <c r="E23">
        <f t="shared" ref="E23:J23" si="1">E11</f>
        <v>0</v>
      </c>
      <c r="F23" s="3">
        <f t="shared" si="1"/>
        <v>3.6363636363636331</v>
      </c>
      <c r="G23" s="3">
        <f t="shared" si="1"/>
        <v>3.3719008264462857</v>
      </c>
      <c r="H23" s="3">
        <f t="shared" si="1"/>
        <v>3.1266716754320143</v>
      </c>
      <c r="I23" s="3">
        <f t="shared" si="1"/>
        <v>2.8992773717642208</v>
      </c>
      <c r="J23" s="3">
        <f t="shared" si="1"/>
        <v>2.6884208356359167</v>
      </c>
    </row>
    <row r="24" spans="3:10" x14ac:dyDescent="0.3">
      <c r="C24" t="s">
        <v>361</v>
      </c>
      <c r="F24" s="3"/>
      <c r="G24" s="3"/>
      <c r="H24" s="3"/>
      <c r="I24" s="3"/>
      <c r="J24" s="3"/>
    </row>
    <row r="25" spans="3:10" x14ac:dyDescent="0.3">
      <c r="C25" t="s">
        <v>79</v>
      </c>
      <c r="E25">
        <f t="shared" ref="E25:J25" si="2">E22+E23-E24</f>
        <v>0</v>
      </c>
      <c r="F25" s="3">
        <f t="shared" si="2"/>
        <v>3.6363636363636331</v>
      </c>
      <c r="G25" s="3">
        <f t="shared" si="2"/>
        <v>7.0082644628099189</v>
      </c>
      <c r="H25" s="3">
        <f t="shared" si="2"/>
        <v>10.134936138241933</v>
      </c>
      <c r="I25" s="3">
        <f t="shared" si="2"/>
        <v>13.034213510006154</v>
      </c>
      <c r="J25" s="3">
        <f t="shared" si="2"/>
        <v>15.722634345642071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zoomScale="70" zoomScaleNormal="70" workbookViewId="0"/>
  </sheetViews>
  <sheetFormatPr defaultRowHeight="14.4" x14ac:dyDescent="0.3"/>
  <cols>
    <col min="2" max="2" width="26.5546875" customWidth="1"/>
    <col min="5" max="5" width="9.5546875" bestFit="1" customWidth="1"/>
    <col min="6" max="7" width="9.5546875" customWidth="1"/>
    <col min="8" max="8" width="16.77734375" customWidth="1"/>
    <col min="12" max="12" width="9.21875" customWidth="1"/>
  </cols>
  <sheetData>
    <row r="1" spans="2:12" x14ac:dyDescent="0.3">
      <c r="D1" s="2" t="s">
        <v>22</v>
      </c>
      <c r="E1" s="2" t="s">
        <v>23</v>
      </c>
      <c r="F1" s="2" t="s">
        <v>23</v>
      </c>
      <c r="G1" s="2"/>
      <c r="I1" s="2" t="s">
        <v>328</v>
      </c>
      <c r="J1" s="2" t="s">
        <v>329</v>
      </c>
      <c r="K1" s="2" t="s">
        <v>328</v>
      </c>
    </row>
    <row r="2" spans="2:12" x14ac:dyDescent="0.3">
      <c r="B2" t="s">
        <v>2</v>
      </c>
      <c r="D2">
        <v>300</v>
      </c>
      <c r="E2">
        <f>D9</f>
        <v>75</v>
      </c>
      <c r="F2">
        <f>E9</f>
        <v>-50</v>
      </c>
      <c r="H2" t="s">
        <v>36</v>
      </c>
      <c r="I2">
        <v>250</v>
      </c>
      <c r="J2">
        <v>4</v>
      </c>
      <c r="K2">
        <f>-D6/4</f>
        <v>62.5</v>
      </c>
    </row>
    <row r="4" spans="2:12" x14ac:dyDescent="0.3">
      <c r="B4" t="s">
        <v>0</v>
      </c>
      <c r="D4">
        <v>200</v>
      </c>
      <c r="E4">
        <v>400</v>
      </c>
      <c r="F4">
        <v>600</v>
      </c>
      <c r="H4" t="s">
        <v>83</v>
      </c>
    </row>
    <row r="5" spans="2:12" x14ac:dyDescent="0.3">
      <c r="B5" t="s">
        <v>1</v>
      </c>
      <c r="D5">
        <v>-100</v>
      </c>
      <c r="E5">
        <v>-200</v>
      </c>
      <c r="F5">
        <v>-300</v>
      </c>
      <c r="H5" t="s">
        <v>320</v>
      </c>
      <c r="J5">
        <f>I9</f>
        <v>0</v>
      </c>
      <c r="K5">
        <f>J7</f>
        <v>250</v>
      </c>
      <c r="L5">
        <f>K7</f>
        <v>500</v>
      </c>
    </row>
    <row r="6" spans="2:12" x14ac:dyDescent="0.3">
      <c r="B6" t="s">
        <v>18</v>
      </c>
      <c r="D6">
        <v>-250</v>
      </c>
      <c r="E6">
        <v>-250</v>
      </c>
      <c r="F6">
        <v>-250</v>
      </c>
      <c r="H6" t="s">
        <v>84</v>
      </c>
      <c r="J6">
        <f>-D6</f>
        <v>250</v>
      </c>
      <c r="K6">
        <f>-E6</f>
        <v>250</v>
      </c>
      <c r="L6">
        <f>-F6</f>
        <v>250</v>
      </c>
    </row>
    <row r="7" spans="2:12" x14ac:dyDescent="0.3">
      <c r="B7" t="s">
        <v>13</v>
      </c>
      <c r="D7">
        <v>-75</v>
      </c>
      <c r="E7">
        <v>-75</v>
      </c>
      <c r="F7">
        <v>-75</v>
      </c>
      <c r="H7" s="17" t="s">
        <v>79</v>
      </c>
      <c r="I7" s="17"/>
      <c r="J7" s="17">
        <f>J5+J6</f>
        <v>250</v>
      </c>
      <c r="K7" s="17">
        <f>K5+K6</f>
        <v>500</v>
      </c>
      <c r="L7" s="17">
        <f>L5+L6</f>
        <v>750</v>
      </c>
    </row>
    <row r="9" spans="2:12" x14ac:dyDescent="0.3">
      <c r="B9" t="s">
        <v>3</v>
      </c>
      <c r="D9">
        <f>SUM(D2:D8)</f>
        <v>75</v>
      </c>
      <c r="E9">
        <f>SUM(E2:E8)</f>
        <v>-50</v>
      </c>
      <c r="F9">
        <f>SUM(F2:F8)</f>
        <v>-75</v>
      </c>
      <c r="H9" t="s">
        <v>36</v>
      </c>
    </row>
    <row r="10" spans="2:12" ht="15" thickBot="1" x14ac:dyDescent="0.35">
      <c r="B10" s="1" t="s">
        <v>28</v>
      </c>
      <c r="C10" s="1"/>
      <c r="D10" s="1">
        <f>D9-D2</f>
        <v>-225</v>
      </c>
      <c r="E10" s="1">
        <f>E9-E2</f>
        <v>-125</v>
      </c>
      <c r="F10" s="1">
        <f>F9-F2</f>
        <v>-25</v>
      </c>
      <c r="G10" s="6"/>
      <c r="H10" t="s">
        <v>321</v>
      </c>
    </row>
    <row r="11" spans="2:12" x14ac:dyDescent="0.3">
      <c r="H11" t="s">
        <v>77</v>
      </c>
      <c r="J11">
        <f>I13</f>
        <v>0</v>
      </c>
      <c r="K11">
        <f>J13</f>
        <v>62.5</v>
      </c>
      <c r="L11">
        <f>K13</f>
        <v>187.5</v>
      </c>
    </row>
    <row r="12" spans="2:12" x14ac:dyDescent="0.3">
      <c r="B12" t="s">
        <v>4</v>
      </c>
      <c r="C12" s="2" t="s">
        <v>29</v>
      </c>
      <c r="D12" s="2" t="s">
        <v>30</v>
      </c>
      <c r="E12" s="2" t="s">
        <v>31</v>
      </c>
      <c r="F12" s="2" t="s">
        <v>31</v>
      </c>
      <c r="G12" s="2"/>
      <c r="H12" t="s">
        <v>89</v>
      </c>
      <c r="J12" s="19">
        <f>-D26</f>
        <v>62.5</v>
      </c>
      <c r="K12" s="19">
        <f>-E26</f>
        <v>125</v>
      </c>
      <c r="L12" s="19">
        <f>-F26</f>
        <v>187.5</v>
      </c>
    </row>
    <row r="13" spans="2:12" x14ac:dyDescent="0.3">
      <c r="B13" t="s">
        <v>5</v>
      </c>
      <c r="C13">
        <v>300</v>
      </c>
      <c r="D13">
        <f>D9</f>
        <v>75</v>
      </c>
      <c r="E13">
        <f>E9</f>
        <v>-50</v>
      </c>
      <c r="F13">
        <f>F9</f>
        <v>-75</v>
      </c>
      <c r="H13" s="17" t="s">
        <v>322</v>
      </c>
      <c r="I13" s="17"/>
      <c r="J13" s="17">
        <f>SUM(J11:J12)</f>
        <v>62.5</v>
      </c>
      <c r="K13" s="17">
        <f>SUM(K11:K12)</f>
        <v>187.5</v>
      </c>
      <c r="L13" s="17">
        <f>SUM(L11:L12)</f>
        <v>375</v>
      </c>
    </row>
    <row r="14" spans="2:12" x14ac:dyDescent="0.3">
      <c r="B14" t="s">
        <v>40</v>
      </c>
      <c r="D14">
        <f>-D6</f>
        <v>250</v>
      </c>
      <c r="E14">
        <f>D14-E6</f>
        <v>500</v>
      </c>
      <c r="F14">
        <f>E14-F6</f>
        <v>750</v>
      </c>
    </row>
    <row r="15" spans="2:12" x14ac:dyDescent="0.3">
      <c r="B15" t="s">
        <v>41</v>
      </c>
      <c r="C15">
        <v>0</v>
      </c>
      <c r="D15" s="5">
        <f>C15-D26</f>
        <v>62.5</v>
      </c>
      <c r="E15" s="5">
        <f>D15-E26</f>
        <v>187.5</v>
      </c>
      <c r="F15" s="5">
        <f>E15-F26</f>
        <v>375</v>
      </c>
      <c r="G15" s="5"/>
      <c r="H15" t="s">
        <v>344</v>
      </c>
    </row>
    <row r="16" spans="2:12" x14ac:dyDescent="0.3">
      <c r="B16" s="17" t="s">
        <v>91</v>
      </c>
      <c r="C16" s="17">
        <f>C14-C15</f>
        <v>0</v>
      </c>
      <c r="D16" s="17">
        <f>D14-D15</f>
        <v>187.5</v>
      </c>
      <c r="E16" s="18">
        <f>E14-E15</f>
        <v>312.5</v>
      </c>
      <c r="F16" s="17">
        <f>F14-F15</f>
        <v>375</v>
      </c>
      <c r="G16" s="6"/>
      <c r="H16" t="s">
        <v>77</v>
      </c>
      <c r="J16">
        <f>I19</f>
        <v>225</v>
      </c>
      <c r="K16">
        <f>J19</f>
        <v>193.125</v>
      </c>
      <c r="L16">
        <f>K19</f>
        <v>193.125</v>
      </c>
    </row>
    <row r="17" spans="2:12" x14ac:dyDescent="0.3">
      <c r="B17" s="10" t="s">
        <v>323</v>
      </c>
      <c r="C17" s="11">
        <f>SUM(C13:C15)</f>
        <v>300</v>
      </c>
      <c r="D17" s="11">
        <f>D13+D14-D15</f>
        <v>262.5</v>
      </c>
      <c r="E17" s="11">
        <f>E13+E14-E15</f>
        <v>262.5</v>
      </c>
      <c r="F17" s="11">
        <f>F13+F14-F15</f>
        <v>300</v>
      </c>
      <c r="G17" s="6"/>
      <c r="H17" t="s">
        <v>261</v>
      </c>
      <c r="J17" s="19">
        <f>D29</f>
        <v>31.875</v>
      </c>
      <c r="K17" s="19">
        <f>E29</f>
        <v>63.75</v>
      </c>
      <c r="L17" s="19">
        <f>F29</f>
        <v>95.625</v>
      </c>
    </row>
    <row r="18" spans="2:12" x14ac:dyDescent="0.3">
      <c r="B18" s="15" t="s">
        <v>347</v>
      </c>
      <c r="C18">
        <f>I19</f>
        <v>225</v>
      </c>
      <c r="D18">
        <f>J19</f>
        <v>193.125</v>
      </c>
      <c r="E18">
        <f>K19</f>
        <v>193.125</v>
      </c>
      <c r="F18">
        <f>L19</f>
        <v>225</v>
      </c>
      <c r="H18" t="s">
        <v>262</v>
      </c>
      <c r="J18" s="4">
        <f>-D35</f>
        <v>63.75</v>
      </c>
      <c r="K18" s="4">
        <f>-E35</f>
        <v>63.75</v>
      </c>
      <c r="L18" s="4">
        <f>-F35</f>
        <v>63.75</v>
      </c>
    </row>
    <row r="19" spans="2:12" x14ac:dyDescent="0.3">
      <c r="B19" s="15" t="s">
        <v>348</v>
      </c>
      <c r="C19">
        <f>I25</f>
        <v>75</v>
      </c>
      <c r="D19">
        <f>J25</f>
        <v>69.375</v>
      </c>
      <c r="E19">
        <f>K25</f>
        <v>69.375</v>
      </c>
      <c r="F19">
        <f>L25</f>
        <v>75</v>
      </c>
      <c r="G19" s="2"/>
      <c r="H19" s="17" t="s">
        <v>79</v>
      </c>
      <c r="I19" s="17">
        <f>C20*0.75</f>
        <v>225</v>
      </c>
      <c r="J19" s="60">
        <f>J16+J17-J18</f>
        <v>193.125</v>
      </c>
      <c r="K19" s="60">
        <f>K16+K17-K18</f>
        <v>193.125</v>
      </c>
      <c r="L19" s="60">
        <f>L16+L17-L18</f>
        <v>225</v>
      </c>
    </row>
    <row r="20" spans="2:12" ht="15" thickBot="1" x14ac:dyDescent="0.35">
      <c r="B20" s="8" t="s">
        <v>324</v>
      </c>
      <c r="C20" s="8">
        <v>300</v>
      </c>
      <c r="D20" s="61">
        <f>D18+D19</f>
        <v>262.5</v>
      </c>
      <c r="E20" s="61">
        <f>E18+E19</f>
        <v>262.5</v>
      </c>
      <c r="F20" s="61">
        <f>F18+F19</f>
        <v>300</v>
      </c>
    </row>
    <row r="21" spans="2:12" ht="15" thickTop="1" x14ac:dyDescent="0.3">
      <c r="H21" t="s">
        <v>344</v>
      </c>
    </row>
    <row r="22" spans="2:12" x14ac:dyDescent="0.3">
      <c r="H22" t="s">
        <v>77</v>
      </c>
      <c r="J22">
        <f>I25</f>
        <v>75</v>
      </c>
      <c r="K22">
        <f>J25</f>
        <v>69.375</v>
      </c>
      <c r="L22">
        <f>K25</f>
        <v>69.375</v>
      </c>
    </row>
    <row r="23" spans="2:12" x14ac:dyDescent="0.3">
      <c r="B23" t="s">
        <v>7</v>
      </c>
      <c r="D23" s="2" t="s">
        <v>22</v>
      </c>
      <c r="E23" s="2" t="s">
        <v>23</v>
      </c>
      <c r="F23" s="2" t="s">
        <v>23</v>
      </c>
      <c r="G23" s="6"/>
      <c r="H23" t="s">
        <v>261</v>
      </c>
      <c r="J23" s="19">
        <f>D28</f>
        <v>5.625</v>
      </c>
      <c r="K23" s="19">
        <f>E28</f>
        <v>11.25</v>
      </c>
      <c r="L23" s="19">
        <f>F28</f>
        <v>16.875</v>
      </c>
    </row>
    <row r="24" spans="2:12" x14ac:dyDescent="0.3">
      <c r="B24" t="s">
        <v>8</v>
      </c>
      <c r="D24">
        <v>200</v>
      </c>
      <c r="E24">
        <f>E4</f>
        <v>400</v>
      </c>
      <c r="F24">
        <f>F4</f>
        <v>600</v>
      </c>
      <c r="H24" t="s">
        <v>262</v>
      </c>
      <c r="J24" s="4">
        <f>-D36</f>
        <v>11.25</v>
      </c>
      <c r="K24" s="4">
        <f>-E36</f>
        <v>11.25</v>
      </c>
      <c r="L24" s="4">
        <f>-F36</f>
        <v>11.25</v>
      </c>
    </row>
    <row r="25" spans="2:12" x14ac:dyDescent="0.3">
      <c r="B25" t="s">
        <v>9</v>
      </c>
      <c r="D25">
        <f>D5</f>
        <v>-100</v>
      </c>
      <c r="E25">
        <f>E5</f>
        <v>-200</v>
      </c>
      <c r="F25">
        <f>F5</f>
        <v>-300</v>
      </c>
      <c r="G25" s="2"/>
      <c r="H25" s="17" t="s">
        <v>79</v>
      </c>
      <c r="I25" s="17">
        <f>300-I19</f>
        <v>75</v>
      </c>
      <c r="J25" s="60">
        <f>J22+J23-J24</f>
        <v>69.375</v>
      </c>
      <c r="K25" s="60">
        <f>K22+K23-K24</f>
        <v>69.375</v>
      </c>
      <c r="L25" s="60">
        <f>L22+L23-L24</f>
        <v>75</v>
      </c>
    </row>
    <row r="26" spans="2:12" x14ac:dyDescent="0.3">
      <c r="B26" t="s">
        <v>24</v>
      </c>
      <c r="D26" s="19">
        <f>-K2</f>
        <v>-62.5</v>
      </c>
      <c r="E26">
        <f>D26*2</f>
        <v>-125</v>
      </c>
      <c r="F26">
        <f>D26*3</f>
        <v>-187.5</v>
      </c>
    </row>
    <row r="27" spans="2:12" ht="15" thickBot="1" x14ac:dyDescent="0.35">
      <c r="B27" s="8" t="s">
        <v>302</v>
      </c>
      <c r="C27" s="8"/>
      <c r="D27" s="20">
        <f>D24+D25+D26</f>
        <v>37.5</v>
      </c>
      <c r="E27" s="8">
        <f>E24+E25+E26</f>
        <v>75</v>
      </c>
      <c r="F27" s="8">
        <f>F24+F25+F26</f>
        <v>112.5</v>
      </c>
      <c r="H27" t="s">
        <v>325</v>
      </c>
      <c r="I27" s="6"/>
      <c r="J27" s="6"/>
      <c r="K27" s="6"/>
    </row>
    <row r="28" spans="2:12" ht="15" thickTop="1" x14ac:dyDescent="0.3">
      <c r="B28" s="15" t="s">
        <v>342</v>
      </c>
      <c r="D28" s="3">
        <f>D27*0.15</f>
        <v>5.625</v>
      </c>
      <c r="E28" s="3">
        <f>E27*0.15</f>
        <v>11.25</v>
      </c>
      <c r="F28" s="3">
        <f>F27*0.15</f>
        <v>16.875</v>
      </c>
      <c r="H28" s="15" t="s">
        <v>8</v>
      </c>
      <c r="J28">
        <f t="shared" ref="J28:L29" si="0">D24</f>
        <v>200</v>
      </c>
      <c r="K28">
        <f t="shared" si="0"/>
        <v>400</v>
      </c>
      <c r="L28">
        <f t="shared" si="0"/>
        <v>600</v>
      </c>
    </row>
    <row r="29" spans="2:12" s="6" customFormat="1" x14ac:dyDescent="0.3">
      <c r="B29" s="15" t="s">
        <v>343</v>
      </c>
      <c r="C29"/>
      <c r="D29" s="64">
        <f>D27-D28</f>
        <v>31.875</v>
      </c>
      <c r="E29" s="64">
        <f>E27-E28</f>
        <v>63.75</v>
      </c>
      <c r="F29" s="64">
        <f>F27-F28</f>
        <v>95.625</v>
      </c>
      <c r="H29" s="15" t="s">
        <v>326</v>
      </c>
      <c r="I29"/>
      <c r="J29">
        <f t="shared" si="0"/>
        <v>-100</v>
      </c>
      <c r="K29">
        <f t="shared" si="0"/>
        <v>-200</v>
      </c>
      <c r="L29">
        <f t="shared" si="0"/>
        <v>-300</v>
      </c>
    </row>
    <row r="30" spans="2:12" ht="15" thickBot="1" x14ac:dyDescent="0.35">
      <c r="G30" s="6"/>
      <c r="H30" s="63" t="s">
        <v>34</v>
      </c>
      <c r="I30" s="8"/>
      <c r="J30" s="8">
        <f>J28+J29</f>
        <v>100</v>
      </c>
      <c r="K30" s="8">
        <f>K28+K29</f>
        <v>200</v>
      </c>
      <c r="L30" s="8">
        <f>L28+L29</f>
        <v>300</v>
      </c>
    </row>
    <row r="31" spans="2:12" ht="15" thickTop="1" x14ac:dyDescent="0.3">
      <c r="B31" t="s">
        <v>14</v>
      </c>
      <c r="D31" s="2" t="s">
        <v>22</v>
      </c>
      <c r="E31" s="2" t="s">
        <v>23</v>
      </c>
      <c r="F31" s="2" t="s">
        <v>23</v>
      </c>
      <c r="H31" s="15" t="s">
        <v>81</v>
      </c>
      <c r="I31" s="6"/>
      <c r="J31">
        <f>D6</f>
        <v>-250</v>
      </c>
      <c r="K31">
        <f>E6</f>
        <v>-250</v>
      </c>
      <c r="L31">
        <f>F6</f>
        <v>-250</v>
      </c>
    </row>
    <row r="32" spans="2:12" x14ac:dyDescent="0.3">
      <c r="B32" t="s">
        <v>15</v>
      </c>
      <c r="D32" s="4">
        <f>D27</f>
        <v>37.5</v>
      </c>
      <c r="E32" s="4">
        <f>E27</f>
        <v>75</v>
      </c>
      <c r="F32" s="4">
        <f>F27</f>
        <v>112.5</v>
      </c>
    </row>
    <row r="33" spans="2:12" x14ac:dyDescent="0.3">
      <c r="B33" t="s">
        <v>26</v>
      </c>
      <c r="D33" s="4">
        <f>K2</f>
        <v>62.5</v>
      </c>
      <c r="E33" s="4">
        <f>D33</f>
        <v>62.5</v>
      </c>
      <c r="F33" s="4">
        <f>E33</f>
        <v>62.5</v>
      </c>
      <c r="H33" s="6" t="s">
        <v>39</v>
      </c>
    </row>
    <row r="34" spans="2:12" x14ac:dyDescent="0.3">
      <c r="B34" t="s">
        <v>27</v>
      </c>
      <c r="D34" s="4">
        <f>D6</f>
        <v>-250</v>
      </c>
      <c r="E34" s="4">
        <f>E6</f>
        <v>-250</v>
      </c>
      <c r="F34" s="4">
        <f>F6</f>
        <v>-250</v>
      </c>
      <c r="H34" s="15" t="s">
        <v>302</v>
      </c>
      <c r="J34" s="19">
        <f>D27</f>
        <v>37.5</v>
      </c>
      <c r="K34" s="19">
        <f>E27</f>
        <v>75</v>
      </c>
      <c r="L34" s="19">
        <f>F27</f>
        <v>112.5</v>
      </c>
    </row>
    <row r="35" spans="2:12" x14ac:dyDescent="0.3">
      <c r="B35" s="6" t="s">
        <v>345</v>
      </c>
      <c r="C35" s="6"/>
      <c r="D35" s="13">
        <f>D7*0.85</f>
        <v>-63.75</v>
      </c>
      <c r="E35" s="13">
        <f>E7*0.85</f>
        <v>-63.75</v>
      </c>
      <c r="F35" s="13">
        <f>F7*0.85</f>
        <v>-63.75</v>
      </c>
      <c r="H35" t="s">
        <v>26</v>
      </c>
      <c r="J35" s="62">
        <f>-D26</f>
        <v>62.5</v>
      </c>
      <c r="K35" s="62">
        <f>-E26</f>
        <v>125</v>
      </c>
      <c r="L35" s="62">
        <f>-F26</f>
        <v>187.5</v>
      </c>
    </row>
    <row r="36" spans="2:12" ht="15" thickBot="1" x14ac:dyDescent="0.35">
      <c r="B36" s="15" t="s">
        <v>346</v>
      </c>
      <c r="D36" s="4">
        <f>D7-D35</f>
        <v>-11.25</v>
      </c>
      <c r="E36" s="4">
        <f>E7-E35</f>
        <v>-11.25</v>
      </c>
      <c r="F36" s="4">
        <f>F7-F35</f>
        <v>-11.25</v>
      </c>
      <c r="H36" s="8" t="s">
        <v>327</v>
      </c>
      <c r="I36" s="8"/>
      <c r="J36" s="20">
        <f>J34+J35</f>
        <v>100</v>
      </c>
      <c r="K36" s="20">
        <f>K34+K35</f>
        <v>200</v>
      </c>
      <c r="L36" s="20">
        <f>L34+L35</f>
        <v>300</v>
      </c>
    </row>
    <row r="37" spans="2:12" ht="15.6" thickTop="1" thickBot="1" x14ac:dyDescent="0.35">
      <c r="B37" s="8" t="s">
        <v>17</v>
      </c>
      <c r="C37" s="8"/>
      <c r="D37" s="14">
        <f>SUM(D32:D36)</f>
        <v>-225</v>
      </c>
      <c r="E37" s="14">
        <f>SUM(E32:E36)</f>
        <v>-187.5</v>
      </c>
      <c r="F37" s="14">
        <f>SUM(F32:F36)</f>
        <v>-150</v>
      </c>
      <c r="H37" s="15" t="s">
        <v>81</v>
      </c>
      <c r="I37" s="6"/>
      <c r="J37">
        <f>D6</f>
        <v>-250</v>
      </c>
      <c r="K37">
        <f>E6</f>
        <v>-250</v>
      </c>
      <c r="L37">
        <f>F6</f>
        <v>-250</v>
      </c>
    </row>
    <row r="38" spans="2:12" ht="15" thickTop="1" x14ac:dyDescent="0.3"/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9"/>
  <sheetViews>
    <sheetView workbookViewId="0">
      <selection activeCell="K14" sqref="K14"/>
    </sheetView>
  </sheetViews>
  <sheetFormatPr defaultRowHeight="14.4" x14ac:dyDescent="0.3"/>
  <cols>
    <col min="1" max="2" width="1.44140625" style="21" customWidth="1"/>
    <col min="3" max="3" width="39.88671875" style="21" customWidth="1"/>
    <col min="4" max="6" width="11.109375" style="21" bestFit="1" customWidth="1"/>
    <col min="7" max="16384" width="8.88671875" style="21"/>
  </cols>
  <sheetData>
    <row r="3" spans="2:6" x14ac:dyDescent="0.3">
      <c r="B3" s="21" t="s">
        <v>45</v>
      </c>
      <c r="D3" s="24">
        <v>1</v>
      </c>
      <c r="E3" s="24">
        <v>2</v>
      </c>
      <c r="F3" s="24">
        <v>3</v>
      </c>
    </row>
    <row r="4" spans="2:6" x14ac:dyDescent="0.3">
      <c r="C4" s="21" t="s">
        <v>43</v>
      </c>
      <c r="D4" s="25">
        <v>200000</v>
      </c>
      <c r="E4" s="25">
        <v>300000</v>
      </c>
      <c r="F4" s="25">
        <v>400000</v>
      </c>
    </row>
    <row r="5" spans="2:6" x14ac:dyDescent="0.3">
      <c r="C5" s="21" t="s">
        <v>44</v>
      </c>
      <c r="D5" s="25">
        <v>100</v>
      </c>
      <c r="E5" s="25">
        <v>100</v>
      </c>
      <c r="F5" s="25">
        <v>100</v>
      </c>
    </row>
    <row r="6" spans="2:6" x14ac:dyDescent="0.3">
      <c r="D6" s="22"/>
      <c r="E6" s="22"/>
      <c r="F6" s="22"/>
    </row>
    <row r="7" spans="2:6" x14ac:dyDescent="0.3">
      <c r="C7" s="21" t="s">
        <v>46</v>
      </c>
      <c r="D7" s="25">
        <v>1000</v>
      </c>
      <c r="E7" s="25">
        <v>900</v>
      </c>
      <c r="F7" s="25">
        <v>1200</v>
      </c>
    </row>
    <row r="8" spans="2:6" x14ac:dyDescent="0.3">
      <c r="D8" s="22"/>
      <c r="E8" s="22"/>
      <c r="F8" s="22"/>
    </row>
    <row r="9" spans="2:6" x14ac:dyDescent="0.3">
      <c r="C9" s="21" t="s">
        <v>44</v>
      </c>
      <c r="D9" s="22">
        <f>D5*D7</f>
        <v>100000</v>
      </c>
      <c r="E9" s="22">
        <f>E5*E7</f>
        <v>90000</v>
      </c>
      <c r="F9" s="22">
        <f>F5*F7</f>
        <v>120000</v>
      </c>
    </row>
    <row r="10" spans="2:6" x14ac:dyDescent="0.3">
      <c r="C10" s="21" t="s">
        <v>80</v>
      </c>
      <c r="E10" s="23">
        <f>E9-D9</f>
        <v>-10000</v>
      </c>
      <c r="F10" s="23">
        <f>F9-E9</f>
        <v>30000</v>
      </c>
    </row>
    <row r="12" spans="2:6" x14ac:dyDescent="0.3">
      <c r="C12" s="21" t="s">
        <v>74</v>
      </c>
      <c r="D12" s="26">
        <v>1000</v>
      </c>
      <c r="E12" s="26">
        <v>1000</v>
      </c>
      <c r="F12" s="26">
        <v>1000</v>
      </c>
    </row>
    <row r="14" spans="2:6" x14ac:dyDescent="0.3">
      <c r="C14" s="21" t="s">
        <v>75</v>
      </c>
      <c r="E14" s="23">
        <f>E10</f>
        <v>-10000</v>
      </c>
      <c r="F14" s="23">
        <f>F10</f>
        <v>30000</v>
      </c>
    </row>
    <row r="16" spans="2:6" x14ac:dyDescent="0.3">
      <c r="C16" s="21" t="s">
        <v>76</v>
      </c>
    </row>
    <row r="17" spans="3:6" x14ac:dyDescent="0.3">
      <c r="C17" s="21" t="s">
        <v>77</v>
      </c>
      <c r="E17" s="22">
        <f>D19</f>
        <v>0</v>
      </c>
      <c r="F17" s="22">
        <f>E19</f>
        <v>-10000</v>
      </c>
    </row>
    <row r="18" spans="3:6" x14ac:dyDescent="0.3">
      <c r="C18" s="21" t="s">
        <v>78</v>
      </c>
      <c r="E18" s="22">
        <f>E14</f>
        <v>-10000</v>
      </c>
      <c r="F18" s="22">
        <f>F14</f>
        <v>30000</v>
      </c>
    </row>
    <row r="19" spans="3:6" x14ac:dyDescent="0.3">
      <c r="C19" s="21" t="s">
        <v>79</v>
      </c>
      <c r="E19" s="22">
        <f>SUM(E17:E18)</f>
        <v>-10000</v>
      </c>
      <c r="F19" s="22">
        <f>SUM(F17:F18)</f>
        <v>20000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2"/>
  <sheetViews>
    <sheetView workbookViewId="0">
      <selection activeCell="H12" sqref="H12"/>
    </sheetView>
  </sheetViews>
  <sheetFormatPr defaultRowHeight="14.4" x14ac:dyDescent="0.3"/>
  <cols>
    <col min="3" max="3" width="17.109375" customWidth="1"/>
    <col min="4" max="4" width="2.77734375" customWidth="1"/>
  </cols>
  <sheetData>
    <row r="2" spans="3:6" x14ac:dyDescent="0.3">
      <c r="C2" t="s">
        <v>7</v>
      </c>
      <c r="F2" t="s">
        <v>506</v>
      </c>
    </row>
    <row r="3" spans="3:6" x14ac:dyDescent="0.3">
      <c r="C3" t="s">
        <v>8</v>
      </c>
      <c r="F3">
        <v>100</v>
      </c>
    </row>
    <row r="5" spans="3:6" x14ac:dyDescent="0.3">
      <c r="C5" t="s">
        <v>4</v>
      </c>
      <c r="E5" t="s">
        <v>507</v>
      </c>
      <c r="F5" t="s">
        <v>508</v>
      </c>
    </row>
    <row r="6" spans="3:6" x14ac:dyDescent="0.3">
      <c r="C6" t="s">
        <v>475</v>
      </c>
      <c r="E6">
        <v>12</v>
      </c>
      <c r="F6">
        <v>15</v>
      </c>
    </row>
    <row r="8" spans="3:6" x14ac:dyDescent="0.3">
      <c r="C8" t="s">
        <v>579</v>
      </c>
    </row>
    <row r="9" spans="3:6" x14ac:dyDescent="0.3">
      <c r="C9" t="s">
        <v>77</v>
      </c>
      <c r="E9" t="str">
        <f ca="1">_xlfn.FORMULATEXT(F9)</f>
        <v>=E6</v>
      </c>
      <c r="F9">
        <f>E6</f>
        <v>12</v>
      </c>
    </row>
    <row r="10" spans="3:6" x14ac:dyDescent="0.3">
      <c r="C10" t="s">
        <v>580</v>
      </c>
      <c r="E10" t="str">
        <f t="shared" ref="E10:E12" ca="1" si="0">_xlfn.FORMULATEXT(F10)</f>
        <v>=F3</v>
      </c>
      <c r="F10">
        <f>F3</f>
        <v>100</v>
      </c>
    </row>
    <row r="11" spans="3:6" x14ac:dyDescent="0.3">
      <c r="C11" t="s">
        <v>581</v>
      </c>
      <c r="E11" t="str">
        <f t="shared" ca="1" si="0"/>
        <v>=F9-F12+F10</v>
      </c>
      <c r="F11">
        <f>F9-F12+F10</f>
        <v>97</v>
      </c>
    </row>
    <row r="12" spans="3:6" x14ac:dyDescent="0.3">
      <c r="C12" t="s">
        <v>79</v>
      </c>
      <c r="E12" t="str">
        <f t="shared" ca="1" si="0"/>
        <v>=F6</v>
      </c>
      <c r="F12">
        <f>F6</f>
        <v>15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workbookViewId="0">
      <selection activeCell="H12" sqref="H12"/>
    </sheetView>
  </sheetViews>
  <sheetFormatPr defaultRowHeight="14.4" x14ac:dyDescent="0.3"/>
  <cols>
    <col min="1" max="1" width="1.44140625" style="21" customWidth="1"/>
    <col min="2" max="2" width="1.21875" style="21" customWidth="1"/>
    <col min="3" max="3" width="29.21875" style="21" customWidth="1"/>
    <col min="4" max="4" width="8.88671875" style="21"/>
    <col min="5" max="5" width="2.5546875" style="21" customWidth="1"/>
    <col min="6" max="6" width="1.6640625" style="21" customWidth="1"/>
    <col min="7" max="7" width="31.33203125" style="21" customWidth="1"/>
    <col min="8" max="16384" width="8.88671875" style="21"/>
  </cols>
  <sheetData>
    <row r="2" spans="2:8" x14ac:dyDescent="0.3">
      <c r="B2" s="33" t="s">
        <v>7</v>
      </c>
      <c r="F2" s="33" t="s">
        <v>14</v>
      </c>
    </row>
    <row r="3" spans="2:8" x14ac:dyDescent="0.3">
      <c r="C3" s="21" t="s">
        <v>8</v>
      </c>
      <c r="D3" s="37">
        <v>3050</v>
      </c>
      <c r="G3" s="21" t="s">
        <v>302</v>
      </c>
      <c r="H3" s="34">
        <f>D13</f>
        <v>470</v>
      </c>
    </row>
    <row r="4" spans="2:8" x14ac:dyDescent="0.3">
      <c r="C4" s="21" t="s">
        <v>371</v>
      </c>
      <c r="D4" s="37">
        <v>2100</v>
      </c>
      <c r="G4" s="21" t="s">
        <v>26</v>
      </c>
      <c r="H4" s="34">
        <f>D6</f>
        <v>400</v>
      </c>
    </row>
    <row r="5" spans="2:8" x14ac:dyDescent="0.3">
      <c r="C5" s="35" t="s">
        <v>374</v>
      </c>
      <c r="D5" s="75">
        <f>D3-D4</f>
        <v>950</v>
      </c>
      <c r="G5" s="21" t="s">
        <v>377</v>
      </c>
      <c r="H5" s="34">
        <f>D8</f>
        <v>30</v>
      </c>
    </row>
    <row r="6" spans="2:8" x14ac:dyDescent="0.3">
      <c r="C6" s="21" t="s">
        <v>87</v>
      </c>
      <c r="D6" s="37">
        <v>400</v>
      </c>
      <c r="G6" s="21" t="s">
        <v>397</v>
      </c>
      <c r="H6" s="34">
        <f>-D9</f>
        <v>100</v>
      </c>
    </row>
    <row r="7" spans="2:8" x14ac:dyDescent="0.3">
      <c r="C7" s="21" t="s">
        <v>372</v>
      </c>
      <c r="D7" s="37">
        <v>40</v>
      </c>
      <c r="G7" s="35" t="s">
        <v>379</v>
      </c>
      <c r="H7" s="75">
        <f>SUM(H3:H6)</f>
        <v>1000</v>
      </c>
    </row>
    <row r="8" spans="2:8" x14ac:dyDescent="0.3">
      <c r="C8" s="21" t="s">
        <v>373</v>
      </c>
      <c r="D8" s="37">
        <v>30</v>
      </c>
      <c r="G8" s="21" t="s">
        <v>380</v>
      </c>
      <c r="H8" s="37">
        <v>-600</v>
      </c>
    </row>
    <row r="9" spans="2:8" x14ac:dyDescent="0.3">
      <c r="C9" s="21" t="s">
        <v>396</v>
      </c>
      <c r="D9" s="37">
        <v>-100</v>
      </c>
      <c r="G9" s="21" t="s">
        <v>381</v>
      </c>
      <c r="H9" s="37">
        <v>50</v>
      </c>
    </row>
    <row r="10" spans="2:8" x14ac:dyDescent="0.3">
      <c r="C10" s="35" t="s">
        <v>73</v>
      </c>
      <c r="D10" s="75">
        <f>D5-D6-D7-D8-D9</f>
        <v>580</v>
      </c>
      <c r="G10" s="35" t="s">
        <v>382</v>
      </c>
      <c r="H10" s="75">
        <f>SUM(H8:H9)</f>
        <v>-550</v>
      </c>
    </row>
    <row r="11" spans="2:8" x14ac:dyDescent="0.3">
      <c r="C11" s="21" t="s">
        <v>277</v>
      </c>
      <c r="D11" s="78">
        <v>130</v>
      </c>
      <c r="G11" s="21" t="s">
        <v>262</v>
      </c>
      <c r="H11" s="78">
        <v>120</v>
      </c>
    </row>
    <row r="12" spans="2:8" x14ac:dyDescent="0.3">
      <c r="C12" s="21" t="s">
        <v>375</v>
      </c>
      <c r="D12" s="78">
        <v>20</v>
      </c>
      <c r="G12" s="21" t="s">
        <v>383</v>
      </c>
      <c r="H12" s="78">
        <v>180</v>
      </c>
    </row>
    <row r="13" spans="2:8" ht="15" thickBot="1" x14ac:dyDescent="0.35">
      <c r="C13" s="47" t="s">
        <v>302</v>
      </c>
      <c r="D13" s="76">
        <f>D10+D12-D11</f>
        <v>470</v>
      </c>
      <c r="G13" s="21" t="s">
        <v>384</v>
      </c>
      <c r="H13" s="78">
        <v>-130</v>
      </c>
    </row>
    <row r="14" spans="2:8" ht="15" thickTop="1" x14ac:dyDescent="0.3">
      <c r="G14" s="35" t="s">
        <v>385</v>
      </c>
      <c r="H14" s="77">
        <f>H10-H11+H12-H13</f>
        <v>-360</v>
      </c>
    </row>
    <row r="15" spans="2:8" ht="15" thickBot="1" x14ac:dyDescent="0.35">
      <c r="G15" s="47" t="s">
        <v>17</v>
      </c>
      <c r="H15" s="76">
        <f>H7+H10+H14</f>
        <v>90</v>
      </c>
    </row>
    <row r="16" spans="2:8" ht="15" thickTop="1" x14ac:dyDescent="0.3"/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workbookViewId="0">
      <selection activeCell="H12" sqref="H12"/>
    </sheetView>
  </sheetViews>
  <sheetFormatPr defaultRowHeight="14.4" x14ac:dyDescent="0.3"/>
  <cols>
    <col min="1" max="1" width="1.77734375" style="21" customWidth="1"/>
    <col min="2" max="2" width="27.44140625" style="21" customWidth="1"/>
    <col min="3" max="3" width="12.88671875" style="21" customWidth="1"/>
    <col min="4" max="7" width="8.88671875" style="21"/>
    <col min="8" max="8" width="1.5546875" style="21" customWidth="1"/>
    <col min="9" max="9" width="20.88671875" style="21" customWidth="1"/>
    <col min="10" max="10" width="11.21875" style="21" customWidth="1"/>
    <col min="11" max="13" width="11" style="21" customWidth="1"/>
    <col min="14" max="14" width="1.77734375" style="21" customWidth="1"/>
    <col min="15" max="15" width="21.6640625" style="21" customWidth="1"/>
    <col min="16" max="19" width="12" style="21" customWidth="1"/>
    <col min="20" max="16384" width="8.88671875" style="21"/>
  </cols>
  <sheetData>
    <row r="1" spans="1:19" x14ac:dyDescent="0.3">
      <c r="C1" s="80" t="s">
        <v>399</v>
      </c>
    </row>
    <row r="2" spans="1:19" x14ac:dyDescent="0.3">
      <c r="A2" s="21" t="s">
        <v>398</v>
      </c>
      <c r="C2" s="24">
        <v>200</v>
      </c>
    </row>
    <row r="3" spans="1:19" x14ac:dyDescent="0.3">
      <c r="J3" s="80" t="s">
        <v>407</v>
      </c>
      <c r="K3" s="80" t="s">
        <v>408</v>
      </c>
      <c r="L3" s="80" t="s">
        <v>409</v>
      </c>
      <c r="P3" s="21" t="s">
        <v>418</v>
      </c>
      <c r="Q3" s="21" t="s">
        <v>415</v>
      </c>
      <c r="R3" s="21" t="s">
        <v>416</v>
      </c>
      <c r="S3" s="21" t="s">
        <v>417</v>
      </c>
    </row>
    <row r="4" spans="1:19" x14ac:dyDescent="0.3">
      <c r="D4" s="80" t="s">
        <v>22</v>
      </c>
      <c r="E4" s="80" t="s">
        <v>23</v>
      </c>
      <c r="F4" s="80" t="s">
        <v>401</v>
      </c>
      <c r="H4" s="81" t="s">
        <v>7</v>
      </c>
      <c r="N4" s="21" t="s">
        <v>410</v>
      </c>
    </row>
    <row r="5" spans="1:19" x14ac:dyDescent="0.3">
      <c r="A5" s="21" t="s">
        <v>400</v>
      </c>
      <c r="D5" s="24">
        <v>200</v>
      </c>
      <c r="E5" s="24">
        <v>220</v>
      </c>
      <c r="F5" s="24">
        <v>240</v>
      </c>
      <c r="I5" s="21" t="s">
        <v>8</v>
      </c>
      <c r="O5" s="21" t="s">
        <v>77</v>
      </c>
    </row>
    <row r="6" spans="1:19" x14ac:dyDescent="0.3">
      <c r="A6" s="21" t="s">
        <v>402</v>
      </c>
      <c r="D6" s="24">
        <v>80</v>
      </c>
      <c r="E6" s="24">
        <v>90</v>
      </c>
      <c r="F6" s="24">
        <v>100</v>
      </c>
      <c r="I6" s="21" t="s">
        <v>405</v>
      </c>
      <c r="O6" s="21" t="s">
        <v>419</v>
      </c>
    </row>
    <row r="7" spans="1:19" ht="15" thickBot="1" x14ac:dyDescent="0.35">
      <c r="I7" s="21" t="s">
        <v>87</v>
      </c>
      <c r="O7" s="47" t="s">
        <v>79</v>
      </c>
      <c r="P7" s="47">
        <f>C2</f>
        <v>200</v>
      </c>
      <c r="Q7" s="47"/>
      <c r="R7" s="47"/>
      <c r="S7" s="47"/>
    </row>
    <row r="8" spans="1:19" ht="15.6" thickTop="1" thickBot="1" x14ac:dyDescent="0.35">
      <c r="A8" s="21" t="s">
        <v>404</v>
      </c>
      <c r="D8" s="24">
        <v>80</v>
      </c>
      <c r="E8" s="24">
        <v>90</v>
      </c>
      <c r="F8" s="24">
        <v>100</v>
      </c>
      <c r="I8" s="47" t="s">
        <v>302</v>
      </c>
      <c r="J8" s="47"/>
      <c r="K8" s="47"/>
      <c r="L8" s="47"/>
    </row>
    <row r="9" spans="1:19" ht="15" thickTop="1" x14ac:dyDescent="0.3">
      <c r="N9" s="21" t="s">
        <v>420</v>
      </c>
    </row>
    <row r="10" spans="1:19" x14ac:dyDescent="0.3">
      <c r="A10" s="21" t="s">
        <v>421</v>
      </c>
      <c r="D10" s="24">
        <v>200</v>
      </c>
      <c r="F10" s="24">
        <v>200</v>
      </c>
      <c r="H10" s="21" t="s">
        <v>14</v>
      </c>
      <c r="J10" s="80" t="s">
        <v>407</v>
      </c>
      <c r="K10" s="80" t="s">
        <v>408</v>
      </c>
      <c r="L10" s="80" t="s">
        <v>409</v>
      </c>
      <c r="O10" s="21" t="s">
        <v>77</v>
      </c>
    </row>
    <row r="11" spans="1:19" x14ac:dyDescent="0.3">
      <c r="A11" s="21" t="s">
        <v>406</v>
      </c>
      <c r="D11" s="24">
        <v>5</v>
      </c>
      <c r="F11" s="24">
        <v>5</v>
      </c>
      <c r="I11" s="21" t="s">
        <v>413</v>
      </c>
      <c r="O11" s="21" t="s">
        <v>84</v>
      </c>
    </row>
    <row r="12" spans="1:19" ht="15" thickBot="1" x14ac:dyDescent="0.35">
      <c r="A12" s="21" t="s">
        <v>87</v>
      </c>
      <c r="D12" s="83"/>
      <c r="F12" s="83"/>
      <c r="I12" s="21" t="s">
        <v>414</v>
      </c>
      <c r="O12" s="47" t="s">
        <v>79</v>
      </c>
      <c r="P12" s="82">
        <v>0</v>
      </c>
      <c r="Q12" s="47"/>
      <c r="R12" s="47"/>
      <c r="S12" s="47"/>
    </row>
    <row r="13" spans="1:19" ht="15" thickTop="1" x14ac:dyDescent="0.3">
      <c r="I13" s="21" t="s">
        <v>27</v>
      </c>
    </row>
    <row r="14" spans="1:19" x14ac:dyDescent="0.3">
      <c r="I14" s="21" t="s">
        <v>262</v>
      </c>
      <c r="N14" s="21" t="s">
        <v>88</v>
      </c>
    </row>
    <row r="15" spans="1:19" ht="15" thickBot="1" x14ac:dyDescent="0.35">
      <c r="I15" s="47" t="s">
        <v>17</v>
      </c>
      <c r="J15" s="47"/>
      <c r="K15" s="47"/>
      <c r="L15" s="47"/>
      <c r="O15" s="21" t="s">
        <v>77</v>
      </c>
    </row>
    <row r="16" spans="1:19" ht="15" thickTop="1" x14ac:dyDescent="0.3">
      <c r="O16" s="21" t="s">
        <v>89</v>
      </c>
    </row>
    <row r="17" spans="1:19" ht="15" thickBot="1" x14ac:dyDescent="0.35">
      <c r="H17" s="21" t="s">
        <v>4</v>
      </c>
      <c r="J17" s="21" t="s">
        <v>415</v>
      </c>
      <c r="K17" s="21" t="s">
        <v>416</v>
      </c>
      <c r="L17" s="21" t="s">
        <v>417</v>
      </c>
      <c r="O17" s="47" t="s">
        <v>79</v>
      </c>
      <c r="P17" s="82">
        <v>0</v>
      </c>
      <c r="Q17" s="47"/>
      <c r="R17" s="47"/>
      <c r="S17" s="47"/>
    </row>
    <row r="18" spans="1:19" ht="15" thickTop="1" x14ac:dyDescent="0.3">
      <c r="I18" s="21" t="s">
        <v>410</v>
      </c>
    </row>
    <row r="19" spans="1:19" x14ac:dyDescent="0.3">
      <c r="I19" s="21" t="s">
        <v>40</v>
      </c>
      <c r="N19" s="81" t="s">
        <v>260</v>
      </c>
    </row>
    <row r="20" spans="1:19" x14ac:dyDescent="0.3">
      <c r="I20" s="21" t="s">
        <v>411</v>
      </c>
      <c r="O20" s="21" t="s">
        <v>77</v>
      </c>
    </row>
    <row r="21" spans="1:19" x14ac:dyDescent="0.3">
      <c r="I21" s="21" t="s">
        <v>412</v>
      </c>
      <c r="O21" s="21" t="s">
        <v>261</v>
      </c>
    </row>
    <row r="22" spans="1:19" ht="15" thickBot="1" x14ac:dyDescent="0.35">
      <c r="I22" s="47" t="s">
        <v>323</v>
      </c>
      <c r="J22" s="47"/>
      <c r="K22" s="47"/>
      <c r="L22" s="47"/>
      <c r="O22" s="21" t="s">
        <v>262</v>
      </c>
    </row>
    <row r="23" spans="1:19" ht="15.6" thickTop="1" thickBot="1" x14ac:dyDescent="0.35">
      <c r="O23" s="47" t="s">
        <v>79</v>
      </c>
      <c r="P23" s="47">
        <f>C2</f>
        <v>200</v>
      </c>
      <c r="Q23" s="47"/>
      <c r="R23" s="47"/>
      <c r="S23" s="47"/>
    </row>
    <row r="24" spans="1:19" ht="15.6" thickTop="1" thickBot="1" x14ac:dyDescent="0.35">
      <c r="I24" s="47" t="s">
        <v>260</v>
      </c>
      <c r="J24" s="47"/>
      <c r="K24" s="47"/>
      <c r="L24" s="47"/>
    </row>
    <row r="25" spans="1:19" ht="15" thickTop="1" x14ac:dyDescent="0.3"/>
    <row r="28" spans="1:19" x14ac:dyDescent="0.3">
      <c r="C28" s="80" t="s">
        <v>399</v>
      </c>
    </row>
    <row r="29" spans="1:19" x14ac:dyDescent="0.3">
      <c r="A29" s="21" t="s">
        <v>398</v>
      </c>
      <c r="C29" s="24">
        <v>400</v>
      </c>
    </row>
    <row r="30" spans="1:19" x14ac:dyDescent="0.3">
      <c r="J30" s="80" t="s">
        <v>407</v>
      </c>
      <c r="K30" s="80" t="s">
        <v>408</v>
      </c>
      <c r="L30" s="80" t="s">
        <v>409</v>
      </c>
      <c r="P30" s="21" t="s">
        <v>418</v>
      </c>
      <c r="Q30" s="21" t="s">
        <v>415</v>
      </c>
      <c r="R30" s="21" t="s">
        <v>416</v>
      </c>
      <c r="S30" s="21" t="s">
        <v>417</v>
      </c>
    </row>
    <row r="31" spans="1:19" x14ac:dyDescent="0.3">
      <c r="D31" s="80" t="s">
        <v>22</v>
      </c>
      <c r="E31" s="80" t="s">
        <v>23</v>
      </c>
      <c r="F31" s="80" t="s">
        <v>401</v>
      </c>
      <c r="H31" s="81" t="s">
        <v>7</v>
      </c>
      <c r="N31" s="21" t="s">
        <v>410</v>
      </c>
    </row>
    <row r="32" spans="1:19" x14ac:dyDescent="0.3">
      <c r="A32" s="21" t="s">
        <v>400</v>
      </c>
      <c r="D32" s="24">
        <v>200</v>
      </c>
      <c r="E32" s="24">
        <v>220</v>
      </c>
      <c r="F32" s="24">
        <v>240</v>
      </c>
      <c r="I32" s="21" t="s">
        <v>8</v>
      </c>
      <c r="J32" s="21">
        <f t="shared" ref="J32:L33" si="0">D32</f>
        <v>200</v>
      </c>
      <c r="K32" s="21">
        <f t="shared" si="0"/>
        <v>220</v>
      </c>
      <c r="L32" s="21">
        <f t="shared" si="0"/>
        <v>240</v>
      </c>
      <c r="O32" s="21" t="s">
        <v>77</v>
      </c>
      <c r="Q32" s="21">
        <f>P34</f>
        <v>400</v>
      </c>
      <c r="R32" s="21">
        <f>Q34</f>
        <v>40</v>
      </c>
      <c r="S32" s="21">
        <f>R34</f>
        <v>80</v>
      </c>
    </row>
    <row r="33" spans="1:19" x14ac:dyDescent="0.3">
      <c r="A33" s="21" t="s">
        <v>402</v>
      </c>
      <c r="D33" s="24">
        <v>80</v>
      </c>
      <c r="E33" s="24">
        <v>90</v>
      </c>
      <c r="F33" s="24">
        <v>100</v>
      </c>
      <c r="I33" s="21" t="s">
        <v>405</v>
      </c>
      <c r="J33" s="21">
        <f t="shared" si="0"/>
        <v>80</v>
      </c>
      <c r="K33" s="21">
        <f t="shared" si="0"/>
        <v>90</v>
      </c>
      <c r="L33" s="21">
        <f t="shared" si="0"/>
        <v>100</v>
      </c>
      <c r="O33" s="21" t="s">
        <v>419</v>
      </c>
      <c r="Q33" s="21">
        <f>J42</f>
        <v>-360</v>
      </c>
      <c r="R33" s="21">
        <f>K42</f>
        <v>40</v>
      </c>
      <c r="S33" s="21">
        <f>L42</f>
        <v>40</v>
      </c>
    </row>
    <row r="34" spans="1:19" ht="15" thickBot="1" x14ac:dyDescent="0.35">
      <c r="I34" s="21" t="s">
        <v>87</v>
      </c>
      <c r="J34" s="21">
        <f>$D$39</f>
        <v>80</v>
      </c>
      <c r="K34" s="21">
        <f>$D$39</f>
        <v>80</v>
      </c>
      <c r="L34" s="21">
        <f>$D$39</f>
        <v>80</v>
      </c>
      <c r="O34" s="47" t="s">
        <v>79</v>
      </c>
      <c r="P34" s="47">
        <f>C29</f>
        <v>400</v>
      </c>
      <c r="Q34" s="47">
        <f>Q32+Q33</f>
        <v>40</v>
      </c>
      <c r="R34" s="47">
        <f>R32+R33</f>
        <v>80</v>
      </c>
      <c r="S34" s="47">
        <f>S32+S33</f>
        <v>120</v>
      </c>
    </row>
    <row r="35" spans="1:19" ht="15.6" thickTop="1" thickBot="1" x14ac:dyDescent="0.35">
      <c r="A35" s="21" t="s">
        <v>404</v>
      </c>
      <c r="D35" s="24">
        <v>80</v>
      </c>
      <c r="E35" s="24">
        <v>90</v>
      </c>
      <c r="F35" s="24">
        <v>100</v>
      </c>
      <c r="I35" s="47" t="s">
        <v>302</v>
      </c>
      <c r="J35" s="47">
        <f>J32-J33-J34</f>
        <v>40</v>
      </c>
      <c r="K35" s="47">
        <f>K32-K33-K34</f>
        <v>50</v>
      </c>
      <c r="L35" s="47">
        <f>L32-L33-L34</f>
        <v>60</v>
      </c>
    </row>
    <row r="36" spans="1:19" ht="15" thickTop="1" x14ac:dyDescent="0.3">
      <c r="N36" s="21" t="s">
        <v>420</v>
      </c>
    </row>
    <row r="37" spans="1:19" x14ac:dyDescent="0.3">
      <c r="A37" s="21" t="s">
        <v>403</v>
      </c>
      <c r="D37" s="24">
        <v>400</v>
      </c>
      <c r="H37" s="21" t="s">
        <v>14</v>
      </c>
      <c r="J37" s="80" t="s">
        <v>407</v>
      </c>
      <c r="K37" s="80" t="s">
        <v>408</v>
      </c>
      <c r="L37" s="80" t="s">
        <v>409</v>
      </c>
      <c r="O37" s="21" t="s">
        <v>77</v>
      </c>
      <c r="Q37" s="21">
        <f>P39</f>
        <v>0</v>
      </c>
      <c r="R37" s="21">
        <f>Q39</f>
        <v>400</v>
      </c>
      <c r="S37" s="21">
        <f>R39</f>
        <v>400</v>
      </c>
    </row>
    <row r="38" spans="1:19" x14ac:dyDescent="0.3">
      <c r="A38" s="21" t="s">
        <v>406</v>
      </c>
      <c r="D38" s="24">
        <v>5</v>
      </c>
      <c r="I38" s="21" t="s">
        <v>413</v>
      </c>
      <c r="J38" s="21">
        <f>J35</f>
        <v>40</v>
      </c>
      <c r="K38" s="21">
        <f>K35</f>
        <v>50</v>
      </c>
      <c r="L38" s="21">
        <f>L35</f>
        <v>60</v>
      </c>
      <c r="O38" s="21" t="s">
        <v>84</v>
      </c>
      <c r="Q38" s="21">
        <f>J40</f>
        <v>400</v>
      </c>
      <c r="R38" s="21">
        <f>K40</f>
        <v>0</v>
      </c>
      <c r="S38" s="21">
        <f>L40</f>
        <v>0</v>
      </c>
    </row>
    <row r="39" spans="1:19" ht="15" thickBot="1" x14ac:dyDescent="0.35">
      <c r="A39" s="21" t="s">
        <v>87</v>
      </c>
      <c r="D39" s="21">
        <f>D37/D38</f>
        <v>80</v>
      </c>
      <c r="I39" s="21" t="s">
        <v>414</v>
      </c>
      <c r="J39" s="21">
        <f>J34</f>
        <v>80</v>
      </c>
      <c r="K39" s="21">
        <f>K34</f>
        <v>80</v>
      </c>
      <c r="L39" s="21">
        <f>L34</f>
        <v>80</v>
      </c>
      <c r="O39" s="47" t="s">
        <v>79</v>
      </c>
      <c r="P39" s="82">
        <v>0</v>
      </c>
      <c r="Q39" s="47">
        <f>Q37+Q38</f>
        <v>400</v>
      </c>
      <c r="R39" s="47">
        <f>R37+R38</f>
        <v>400</v>
      </c>
      <c r="S39" s="47">
        <f>S37+S38</f>
        <v>400</v>
      </c>
    </row>
    <row r="40" spans="1:19" ht="15" thickTop="1" x14ac:dyDescent="0.3">
      <c r="I40" s="21" t="s">
        <v>27</v>
      </c>
      <c r="J40" s="21">
        <f>D37</f>
        <v>400</v>
      </c>
    </row>
    <row r="41" spans="1:19" x14ac:dyDescent="0.3">
      <c r="I41" s="21" t="s">
        <v>262</v>
      </c>
      <c r="J41" s="21">
        <f>D35</f>
        <v>80</v>
      </c>
      <c r="K41" s="21">
        <f>E35</f>
        <v>90</v>
      </c>
      <c r="L41" s="21">
        <f>F35</f>
        <v>100</v>
      </c>
      <c r="N41" s="21" t="s">
        <v>88</v>
      </c>
    </row>
    <row r="42" spans="1:19" ht="15" thickBot="1" x14ac:dyDescent="0.35">
      <c r="I42" s="47" t="s">
        <v>17</v>
      </c>
      <c r="J42" s="47">
        <f>J38+J39-J40-J41</f>
        <v>-360</v>
      </c>
      <c r="K42" s="47">
        <f>K38+K39-K40-K41</f>
        <v>40</v>
      </c>
      <c r="L42" s="47">
        <f>L38+L39-L40-L41</f>
        <v>40</v>
      </c>
      <c r="O42" s="21" t="s">
        <v>77</v>
      </c>
      <c r="Q42" s="21">
        <f>P44</f>
        <v>0</v>
      </c>
      <c r="R42" s="21">
        <f>Q44</f>
        <v>80</v>
      </c>
      <c r="S42" s="21">
        <f>R44</f>
        <v>160</v>
      </c>
    </row>
    <row r="43" spans="1:19" ht="15" thickTop="1" x14ac:dyDescent="0.3">
      <c r="O43" s="21" t="s">
        <v>89</v>
      </c>
      <c r="Q43" s="21">
        <f>J34</f>
        <v>80</v>
      </c>
      <c r="R43" s="21">
        <f>K34</f>
        <v>80</v>
      </c>
      <c r="S43" s="21">
        <f>L34</f>
        <v>80</v>
      </c>
    </row>
    <row r="44" spans="1:19" ht="15" thickBot="1" x14ac:dyDescent="0.35">
      <c r="H44" s="21" t="s">
        <v>4</v>
      </c>
      <c r="J44" s="21" t="s">
        <v>415</v>
      </c>
      <c r="K44" s="21" t="s">
        <v>416</v>
      </c>
      <c r="L44" s="21" t="s">
        <v>417</v>
      </c>
      <c r="O44" s="47" t="s">
        <v>79</v>
      </c>
      <c r="P44" s="82">
        <v>0</v>
      </c>
      <c r="Q44" s="47">
        <f>Q42+Q43</f>
        <v>80</v>
      </c>
      <c r="R44" s="47">
        <f>R42+R43</f>
        <v>160</v>
      </c>
      <c r="S44" s="47">
        <f>S42+S43</f>
        <v>240</v>
      </c>
    </row>
    <row r="45" spans="1:19" ht="15" thickTop="1" x14ac:dyDescent="0.3">
      <c r="I45" s="21" t="s">
        <v>410</v>
      </c>
      <c r="J45" s="21">
        <f>Q34</f>
        <v>40</v>
      </c>
      <c r="K45" s="21">
        <f>R34</f>
        <v>80</v>
      </c>
      <c r="L45" s="21">
        <f>S34</f>
        <v>120</v>
      </c>
    </row>
    <row r="46" spans="1:19" x14ac:dyDescent="0.3">
      <c r="I46" s="21" t="s">
        <v>40</v>
      </c>
      <c r="J46" s="21">
        <f>Q39</f>
        <v>400</v>
      </c>
      <c r="K46" s="21">
        <f>R39</f>
        <v>400</v>
      </c>
      <c r="L46" s="21">
        <f>S39</f>
        <v>400</v>
      </c>
      <c r="N46" s="81" t="s">
        <v>260</v>
      </c>
    </row>
    <row r="47" spans="1:19" x14ac:dyDescent="0.3">
      <c r="I47" s="21" t="s">
        <v>411</v>
      </c>
      <c r="J47" s="21">
        <f>Q44</f>
        <v>80</v>
      </c>
      <c r="K47" s="21">
        <f>R44</f>
        <v>160</v>
      </c>
      <c r="L47" s="21">
        <f>S44</f>
        <v>240</v>
      </c>
      <c r="O47" s="21" t="s">
        <v>77</v>
      </c>
      <c r="Q47" s="21">
        <f>P50</f>
        <v>400</v>
      </c>
      <c r="R47" s="21">
        <f>Q50</f>
        <v>360</v>
      </c>
      <c r="S47" s="21">
        <f>R50</f>
        <v>320</v>
      </c>
    </row>
    <row r="48" spans="1:19" x14ac:dyDescent="0.3">
      <c r="I48" s="21" t="s">
        <v>412</v>
      </c>
      <c r="J48" s="21">
        <f>J46-J47</f>
        <v>320</v>
      </c>
      <c r="K48" s="21">
        <f>K46-K47</f>
        <v>240</v>
      </c>
      <c r="L48" s="21">
        <f>L46-L47</f>
        <v>160</v>
      </c>
      <c r="O48" s="21" t="s">
        <v>261</v>
      </c>
      <c r="Q48" s="21">
        <f>J35</f>
        <v>40</v>
      </c>
      <c r="R48" s="21">
        <f>K35</f>
        <v>50</v>
      </c>
      <c r="S48" s="21">
        <f>L35</f>
        <v>60</v>
      </c>
    </row>
    <row r="49" spans="9:19" ht="15" thickBot="1" x14ac:dyDescent="0.35">
      <c r="I49" s="47" t="s">
        <v>323</v>
      </c>
      <c r="J49" s="47">
        <f>J45+J48</f>
        <v>360</v>
      </c>
      <c r="K49" s="47">
        <f>K45+K48</f>
        <v>320</v>
      </c>
      <c r="L49" s="47">
        <f>L45+L48</f>
        <v>280</v>
      </c>
      <c r="O49" s="21" t="s">
        <v>262</v>
      </c>
      <c r="Q49" s="21">
        <f>J41</f>
        <v>80</v>
      </c>
      <c r="R49" s="21">
        <f>K41</f>
        <v>90</v>
      </c>
      <c r="S49" s="21">
        <f>L41</f>
        <v>100</v>
      </c>
    </row>
    <row r="50" spans="9:19" ht="15.6" thickTop="1" thickBot="1" x14ac:dyDescent="0.35">
      <c r="O50" s="47" t="s">
        <v>79</v>
      </c>
      <c r="P50" s="47">
        <f>C29</f>
        <v>400</v>
      </c>
      <c r="Q50" s="47">
        <f>Q47+Q48-Q49</f>
        <v>360</v>
      </c>
      <c r="R50" s="47">
        <f>R47+R48-R49</f>
        <v>320</v>
      </c>
      <c r="S50" s="47">
        <f>S47+S48-S49</f>
        <v>280</v>
      </c>
    </row>
    <row r="51" spans="9:19" ht="15.6" thickTop="1" thickBot="1" x14ac:dyDescent="0.35">
      <c r="I51" s="47" t="s">
        <v>260</v>
      </c>
      <c r="J51" s="47">
        <f>Q50</f>
        <v>360</v>
      </c>
      <c r="K51" s="47">
        <f>R50</f>
        <v>320</v>
      </c>
      <c r="L51" s="47">
        <f>S50</f>
        <v>280</v>
      </c>
    </row>
    <row r="52" spans="9:19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zoomScale="80" zoomScaleNormal="80" workbookViewId="0">
      <selection activeCell="E25" sqref="E25"/>
    </sheetView>
  </sheetViews>
  <sheetFormatPr defaultRowHeight="14.4" x14ac:dyDescent="0.3"/>
  <cols>
    <col min="2" max="2" width="26.5546875" customWidth="1"/>
    <col min="5" max="5" width="9.5546875" bestFit="1" customWidth="1"/>
    <col min="6" max="7" width="9.5546875" customWidth="1"/>
    <col min="8" max="8" width="16.77734375" customWidth="1"/>
    <col min="12" max="12" width="9.21875" customWidth="1"/>
  </cols>
  <sheetData>
    <row r="1" spans="2:12" x14ac:dyDescent="0.3">
      <c r="D1" s="2" t="s">
        <v>22</v>
      </c>
      <c r="E1" s="2" t="s">
        <v>23</v>
      </c>
      <c r="F1" s="2" t="s">
        <v>23</v>
      </c>
      <c r="G1" s="2"/>
      <c r="I1" s="2" t="s">
        <v>328</v>
      </c>
      <c r="J1" s="2" t="s">
        <v>329</v>
      </c>
      <c r="K1" s="2" t="s">
        <v>328</v>
      </c>
    </row>
    <row r="2" spans="2:12" x14ac:dyDescent="0.3">
      <c r="B2" t="s">
        <v>2</v>
      </c>
      <c r="D2">
        <v>300</v>
      </c>
      <c r="E2">
        <f>D9</f>
        <v>75</v>
      </c>
      <c r="F2">
        <f>E9</f>
        <v>-50</v>
      </c>
      <c r="H2" t="s">
        <v>36</v>
      </c>
      <c r="I2">
        <v>250</v>
      </c>
      <c r="J2">
        <v>4</v>
      </c>
      <c r="K2">
        <f>-D6/4</f>
        <v>62.5</v>
      </c>
    </row>
    <row r="4" spans="2:12" x14ac:dyDescent="0.3">
      <c r="B4" t="s">
        <v>0</v>
      </c>
      <c r="D4">
        <v>200</v>
      </c>
      <c r="E4">
        <v>400</v>
      </c>
      <c r="F4">
        <v>600</v>
      </c>
      <c r="H4" t="s">
        <v>83</v>
      </c>
    </row>
    <row r="5" spans="2:12" x14ac:dyDescent="0.3">
      <c r="B5" t="s">
        <v>1</v>
      </c>
      <c r="D5">
        <v>-100</v>
      </c>
      <c r="E5">
        <v>-200</v>
      </c>
      <c r="F5">
        <v>-300</v>
      </c>
      <c r="H5" t="s">
        <v>320</v>
      </c>
      <c r="J5">
        <f>I9</f>
        <v>0</v>
      </c>
      <c r="K5">
        <f>J7</f>
        <v>250</v>
      </c>
      <c r="L5">
        <f>K7</f>
        <v>500</v>
      </c>
    </row>
    <row r="6" spans="2:12" x14ac:dyDescent="0.3">
      <c r="B6" t="s">
        <v>18</v>
      </c>
      <c r="D6">
        <v>-250</v>
      </c>
      <c r="E6">
        <v>-250</v>
      </c>
      <c r="F6">
        <v>-250</v>
      </c>
      <c r="H6" t="s">
        <v>84</v>
      </c>
      <c r="J6">
        <f>-D6</f>
        <v>250</v>
      </c>
      <c r="K6">
        <f>-E6</f>
        <v>250</v>
      </c>
      <c r="L6">
        <f>-F6</f>
        <v>250</v>
      </c>
    </row>
    <row r="7" spans="2:12" x14ac:dyDescent="0.3">
      <c r="B7" t="s">
        <v>13</v>
      </c>
      <c r="D7">
        <v>-75</v>
      </c>
      <c r="E7">
        <v>-75</v>
      </c>
      <c r="F7">
        <v>-75</v>
      </c>
      <c r="H7" s="17" t="s">
        <v>79</v>
      </c>
      <c r="I7" s="17"/>
      <c r="J7" s="17">
        <f>J5+J6</f>
        <v>250</v>
      </c>
      <c r="K7" s="17">
        <f>K5+K6</f>
        <v>500</v>
      </c>
      <c r="L7" s="17">
        <f>L5+L6</f>
        <v>750</v>
      </c>
    </row>
    <row r="9" spans="2:12" x14ac:dyDescent="0.3">
      <c r="B9" t="s">
        <v>3</v>
      </c>
      <c r="D9">
        <f>SUM(D2:D8)</f>
        <v>75</v>
      </c>
      <c r="E9">
        <f>SUM(E2:E8)</f>
        <v>-50</v>
      </c>
      <c r="F9">
        <f>SUM(F2:F8)</f>
        <v>-75</v>
      </c>
      <c r="H9" t="s">
        <v>36</v>
      </c>
    </row>
    <row r="10" spans="2:12" ht="15" thickBot="1" x14ac:dyDescent="0.35">
      <c r="B10" s="1" t="s">
        <v>28</v>
      </c>
      <c r="C10" s="1"/>
      <c r="D10" s="1">
        <f>D9-D2</f>
        <v>-225</v>
      </c>
      <c r="E10" s="1">
        <f>E9-E2</f>
        <v>-125</v>
      </c>
      <c r="F10" s="1">
        <f>F9-F2</f>
        <v>-25</v>
      </c>
      <c r="G10" s="6"/>
      <c r="H10" t="s">
        <v>321</v>
      </c>
    </row>
    <row r="11" spans="2:12" x14ac:dyDescent="0.3">
      <c r="H11" t="s">
        <v>77</v>
      </c>
      <c r="J11">
        <f>I13</f>
        <v>0</v>
      </c>
      <c r="K11">
        <f>J13</f>
        <v>62.5</v>
      </c>
      <c r="L11">
        <f>K13</f>
        <v>187.5</v>
      </c>
    </row>
    <row r="12" spans="2:12" x14ac:dyDescent="0.3">
      <c r="B12" t="s">
        <v>4</v>
      </c>
      <c r="C12" s="2" t="s">
        <v>29</v>
      </c>
      <c r="D12" s="2" t="s">
        <v>30</v>
      </c>
      <c r="E12" s="2" t="s">
        <v>31</v>
      </c>
      <c r="F12" s="2" t="s">
        <v>31</v>
      </c>
      <c r="G12" s="2"/>
      <c r="H12" t="s">
        <v>89</v>
      </c>
      <c r="J12" s="19">
        <f>-D23</f>
        <v>62.5</v>
      </c>
      <c r="K12" s="19">
        <f>-E23</f>
        <v>125</v>
      </c>
      <c r="L12" s="19">
        <f>-F23</f>
        <v>187.5</v>
      </c>
    </row>
    <row r="13" spans="2:12" x14ac:dyDescent="0.3">
      <c r="B13" t="s">
        <v>5</v>
      </c>
      <c r="C13">
        <v>300</v>
      </c>
      <c r="D13">
        <f>D9</f>
        <v>75</v>
      </c>
      <c r="E13">
        <f>E9</f>
        <v>-50</v>
      </c>
      <c r="F13">
        <f>F9</f>
        <v>-75</v>
      </c>
      <c r="H13" s="17" t="s">
        <v>322</v>
      </c>
      <c r="I13" s="17"/>
      <c r="J13" s="17">
        <f>SUM(J11:J12)</f>
        <v>62.5</v>
      </c>
      <c r="K13" s="17">
        <f>SUM(K11:K12)</f>
        <v>187.5</v>
      </c>
      <c r="L13" s="17">
        <f>SUM(L11:L12)</f>
        <v>375</v>
      </c>
    </row>
    <row r="14" spans="2:12" x14ac:dyDescent="0.3">
      <c r="B14" t="s">
        <v>40</v>
      </c>
      <c r="D14">
        <f>-D6</f>
        <v>250</v>
      </c>
      <c r="E14">
        <f>D14-E6</f>
        <v>500</v>
      </c>
      <c r="F14">
        <f>E14-F6</f>
        <v>750</v>
      </c>
    </row>
    <row r="15" spans="2:12" x14ac:dyDescent="0.3">
      <c r="B15" t="s">
        <v>41</v>
      </c>
      <c r="C15">
        <v>0</v>
      </c>
      <c r="D15" s="5">
        <f>C15-D23</f>
        <v>62.5</v>
      </c>
      <c r="E15" s="5">
        <f>D15-E23</f>
        <v>187.5</v>
      </c>
      <c r="F15" s="5">
        <f>E15-F23</f>
        <v>375</v>
      </c>
      <c r="G15" s="5"/>
      <c r="H15" t="s">
        <v>260</v>
      </c>
    </row>
    <row r="16" spans="2:12" x14ac:dyDescent="0.3">
      <c r="B16" s="17" t="s">
        <v>91</v>
      </c>
      <c r="C16" s="17">
        <f>C14-C15</f>
        <v>0</v>
      </c>
      <c r="D16" s="17">
        <f>D14-D15</f>
        <v>187.5</v>
      </c>
      <c r="E16" s="18">
        <f>E14-E15</f>
        <v>312.5</v>
      </c>
      <c r="F16" s="17">
        <f>F14-F15</f>
        <v>375</v>
      </c>
      <c r="G16" s="6"/>
      <c r="H16" t="s">
        <v>77</v>
      </c>
      <c r="J16">
        <f>I19</f>
        <v>300</v>
      </c>
      <c r="K16">
        <f>J19</f>
        <v>262.5</v>
      </c>
      <c r="L16">
        <f>K19</f>
        <v>262.5</v>
      </c>
    </row>
    <row r="17" spans="2:12" x14ac:dyDescent="0.3">
      <c r="B17" s="10" t="s">
        <v>323</v>
      </c>
      <c r="C17" s="11">
        <f>SUM(C13:C15)</f>
        <v>300</v>
      </c>
      <c r="D17" s="11">
        <f>D13+D14-D15</f>
        <v>262.5</v>
      </c>
      <c r="E17" s="11">
        <f>E13+E14-E15</f>
        <v>262.5</v>
      </c>
      <c r="F17" s="11">
        <f>F13+F14-F15</f>
        <v>300</v>
      </c>
      <c r="G17" s="6"/>
      <c r="H17" t="s">
        <v>261</v>
      </c>
      <c r="J17" s="19">
        <f>D24</f>
        <v>37.5</v>
      </c>
      <c r="K17" s="19">
        <f>E24</f>
        <v>75</v>
      </c>
      <c r="L17" s="19">
        <f>F24</f>
        <v>112.5</v>
      </c>
    </row>
    <row r="18" spans="2:12" ht="15" thickBot="1" x14ac:dyDescent="0.35">
      <c r="B18" s="8" t="s">
        <v>324</v>
      </c>
      <c r="C18" s="8">
        <v>300</v>
      </c>
      <c r="D18" s="61">
        <f>J19</f>
        <v>262.5</v>
      </c>
      <c r="E18" s="61">
        <f>K19</f>
        <v>262.5</v>
      </c>
      <c r="F18" s="61">
        <f>L19</f>
        <v>300</v>
      </c>
      <c r="H18" t="s">
        <v>262</v>
      </c>
      <c r="J18" s="4">
        <f>-D30</f>
        <v>75</v>
      </c>
      <c r="K18" s="4">
        <f>-E30</f>
        <v>75</v>
      </c>
      <c r="L18" s="4">
        <f>-F30</f>
        <v>75</v>
      </c>
    </row>
    <row r="19" spans="2:12" ht="15" thickTop="1" x14ac:dyDescent="0.3">
      <c r="G19" s="2"/>
      <c r="H19" s="17" t="s">
        <v>79</v>
      </c>
      <c r="I19" s="17">
        <f>C18</f>
        <v>300</v>
      </c>
      <c r="J19" s="60">
        <f>J16+J17-J18</f>
        <v>262.5</v>
      </c>
      <c r="K19" s="60">
        <f>K16+K17-K18</f>
        <v>262.5</v>
      </c>
      <c r="L19" s="60">
        <f>L16+L17-L18</f>
        <v>300</v>
      </c>
    </row>
    <row r="20" spans="2:12" x14ac:dyDescent="0.3">
      <c r="B20" t="s">
        <v>7</v>
      </c>
      <c r="D20" s="2" t="s">
        <v>22</v>
      </c>
      <c r="E20" s="2" t="s">
        <v>23</v>
      </c>
      <c r="F20" s="2" t="s">
        <v>23</v>
      </c>
    </row>
    <row r="21" spans="2:12" x14ac:dyDescent="0.3">
      <c r="B21" t="s">
        <v>8</v>
      </c>
      <c r="D21">
        <v>200</v>
      </c>
      <c r="E21">
        <f>E4</f>
        <v>400</v>
      </c>
      <c r="F21">
        <f>F4</f>
        <v>600</v>
      </c>
      <c r="H21" t="s">
        <v>325</v>
      </c>
      <c r="I21" s="6"/>
      <c r="J21" s="6"/>
      <c r="K21" s="6"/>
    </row>
    <row r="22" spans="2:12" x14ac:dyDescent="0.3">
      <c r="B22" t="s">
        <v>9</v>
      </c>
      <c r="D22">
        <f>D5</f>
        <v>-100</v>
      </c>
      <c r="E22">
        <f>E5</f>
        <v>-200</v>
      </c>
      <c r="F22">
        <f>F5</f>
        <v>-300</v>
      </c>
      <c r="H22" s="15" t="s">
        <v>8</v>
      </c>
      <c r="J22">
        <f t="shared" ref="J22:L23" si="0">D21</f>
        <v>200</v>
      </c>
      <c r="K22">
        <f t="shared" si="0"/>
        <v>400</v>
      </c>
      <c r="L22">
        <f t="shared" si="0"/>
        <v>600</v>
      </c>
    </row>
    <row r="23" spans="2:12" x14ac:dyDescent="0.3">
      <c r="B23" t="s">
        <v>24</v>
      </c>
      <c r="D23" s="19">
        <f>-K2</f>
        <v>-62.5</v>
      </c>
      <c r="E23">
        <f>D23*2</f>
        <v>-125</v>
      </c>
      <c r="F23">
        <f>D23*3</f>
        <v>-187.5</v>
      </c>
      <c r="G23" s="6"/>
      <c r="H23" s="15" t="s">
        <v>326</v>
      </c>
      <c r="J23">
        <f t="shared" si="0"/>
        <v>-100</v>
      </c>
      <c r="K23">
        <f t="shared" si="0"/>
        <v>-200</v>
      </c>
      <c r="L23">
        <f t="shared" si="0"/>
        <v>-300</v>
      </c>
    </row>
    <row r="24" spans="2:12" ht="15" thickBot="1" x14ac:dyDescent="0.35">
      <c r="B24" s="8" t="s">
        <v>302</v>
      </c>
      <c r="C24" s="8"/>
      <c r="D24" s="20">
        <f>D21+D22+D23</f>
        <v>37.5</v>
      </c>
      <c r="E24" s="8">
        <f>E21+E22+E23</f>
        <v>75</v>
      </c>
      <c r="F24" s="8">
        <f>F21+F22+F23</f>
        <v>112.5</v>
      </c>
      <c r="H24" s="63" t="s">
        <v>34</v>
      </c>
      <c r="I24" s="8"/>
      <c r="J24" s="8">
        <f>J22+J23</f>
        <v>100</v>
      </c>
      <c r="K24" s="8">
        <f>K22+K23</f>
        <v>200</v>
      </c>
      <c r="L24" s="8">
        <f>L22+L23</f>
        <v>300</v>
      </c>
    </row>
    <row r="25" spans="2:12" ht="15" thickTop="1" x14ac:dyDescent="0.3">
      <c r="G25" s="2"/>
      <c r="H25" s="15" t="s">
        <v>81</v>
      </c>
      <c r="I25" s="6"/>
      <c r="J25">
        <f>D6</f>
        <v>-250</v>
      </c>
      <c r="K25">
        <f>E6</f>
        <v>-250</v>
      </c>
      <c r="L25">
        <f>F6</f>
        <v>-250</v>
      </c>
    </row>
    <row r="26" spans="2:12" x14ac:dyDescent="0.3">
      <c r="B26" t="s">
        <v>14</v>
      </c>
      <c r="D26" s="2" t="s">
        <v>22</v>
      </c>
      <c r="E26" s="2" t="s">
        <v>23</v>
      </c>
      <c r="F26" s="2" t="s">
        <v>23</v>
      </c>
    </row>
    <row r="27" spans="2:12" x14ac:dyDescent="0.3">
      <c r="B27" t="s">
        <v>15</v>
      </c>
      <c r="D27" s="4">
        <f>D24</f>
        <v>37.5</v>
      </c>
      <c r="E27" s="4">
        <f>E24</f>
        <v>75</v>
      </c>
      <c r="F27" s="4">
        <f>F24</f>
        <v>112.5</v>
      </c>
      <c r="H27" s="6" t="s">
        <v>39</v>
      </c>
    </row>
    <row r="28" spans="2:12" x14ac:dyDescent="0.3">
      <c r="B28" t="s">
        <v>26</v>
      </c>
      <c r="D28" s="4">
        <f>K2</f>
        <v>62.5</v>
      </c>
      <c r="E28" s="4">
        <f>D28</f>
        <v>62.5</v>
      </c>
      <c r="F28" s="4">
        <f>E28</f>
        <v>62.5</v>
      </c>
      <c r="H28" s="15" t="s">
        <v>302</v>
      </c>
      <c r="J28" s="19">
        <f>D24</f>
        <v>37.5</v>
      </c>
      <c r="K28" s="19">
        <f>E24</f>
        <v>75</v>
      </c>
      <c r="L28" s="19">
        <f>F24</f>
        <v>112.5</v>
      </c>
    </row>
    <row r="29" spans="2:12" s="6" customFormat="1" x14ac:dyDescent="0.3">
      <c r="B29" t="s">
        <v>27</v>
      </c>
      <c r="C29"/>
      <c r="D29" s="4">
        <f t="shared" ref="D29:F30" si="1">D6</f>
        <v>-250</v>
      </c>
      <c r="E29" s="4">
        <f t="shared" si="1"/>
        <v>-250</v>
      </c>
      <c r="F29" s="4">
        <f t="shared" si="1"/>
        <v>-250</v>
      </c>
      <c r="H29" t="s">
        <v>26</v>
      </c>
      <c r="I29"/>
      <c r="J29" s="62">
        <f>-D23</f>
        <v>62.5</v>
      </c>
      <c r="K29" s="62">
        <f>-E23</f>
        <v>125</v>
      </c>
      <c r="L29" s="62">
        <f>-F23</f>
        <v>187.5</v>
      </c>
    </row>
    <row r="30" spans="2:12" ht="15" thickBot="1" x14ac:dyDescent="0.35">
      <c r="B30" s="6" t="s">
        <v>16</v>
      </c>
      <c r="C30" s="6"/>
      <c r="D30" s="13">
        <f t="shared" si="1"/>
        <v>-75</v>
      </c>
      <c r="E30" s="13">
        <f t="shared" si="1"/>
        <v>-75</v>
      </c>
      <c r="F30" s="13">
        <f t="shared" si="1"/>
        <v>-75</v>
      </c>
      <c r="G30" s="6"/>
      <c r="H30" s="8" t="s">
        <v>327</v>
      </c>
      <c r="I30" s="8"/>
      <c r="J30" s="20">
        <f>J28+J29</f>
        <v>100</v>
      </c>
      <c r="K30" s="20">
        <f>K28+K29</f>
        <v>200</v>
      </c>
      <c r="L30" s="20">
        <f>L28+L29</f>
        <v>300</v>
      </c>
    </row>
    <row r="31" spans="2:12" ht="15.6" thickTop="1" thickBot="1" x14ac:dyDescent="0.35">
      <c r="B31" s="8" t="s">
        <v>17</v>
      </c>
      <c r="C31" s="8"/>
      <c r="D31" s="14">
        <f>SUM(D27:D30)</f>
        <v>-225</v>
      </c>
      <c r="E31" s="14">
        <f>SUM(E27:E30)</f>
        <v>-187.5</v>
      </c>
      <c r="F31" s="14">
        <f>SUM(F27:F30)</f>
        <v>-150</v>
      </c>
      <c r="H31" s="15" t="s">
        <v>81</v>
      </c>
      <c r="I31" s="6"/>
      <c r="J31">
        <f>D6</f>
        <v>-250</v>
      </c>
      <c r="K31">
        <f>E6</f>
        <v>-250</v>
      </c>
      <c r="L31">
        <f>F6</f>
        <v>-250</v>
      </c>
    </row>
    <row r="32" spans="2:12" ht="15" thickTop="1" x14ac:dyDescent="0.3">
      <c r="B32" s="6"/>
      <c r="C32" s="6"/>
      <c r="D32" s="13"/>
      <c r="E32" s="13"/>
      <c r="F32" s="13"/>
    </row>
    <row r="33" spans="2:6" x14ac:dyDescent="0.3">
      <c r="B33" s="6"/>
      <c r="C33" s="6"/>
      <c r="D33" s="13"/>
      <c r="E33" s="13"/>
      <c r="F33" s="13"/>
    </row>
    <row r="34" spans="2:6" x14ac:dyDescent="0.3">
      <c r="B34" t="s">
        <v>10</v>
      </c>
    </row>
    <row r="35" spans="2:6" x14ac:dyDescent="0.3">
      <c r="B35" t="s">
        <v>11</v>
      </c>
      <c r="D35">
        <f>D18</f>
        <v>262.5</v>
      </c>
    </row>
    <row r="36" spans="2:6" x14ac:dyDescent="0.3">
      <c r="B36" t="s">
        <v>12</v>
      </c>
      <c r="D36">
        <f>-C18</f>
        <v>-300</v>
      </c>
    </row>
    <row r="37" spans="2:6" ht="15" thickBot="1" x14ac:dyDescent="0.35">
      <c r="B37" s="1" t="s">
        <v>10</v>
      </c>
      <c r="C37" s="1"/>
      <c r="D37" s="1">
        <f>D35+D36</f>
        <v>-37.5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9"/>
  <sheetViews>
    <sheetView zoomScale="90" zoomScaleNormal="90" workbookViewId="0">
      <selection activeCell="H12" sqref="H12"/>
    </sheetView>
  </sheetViews>
  <sheetFormatPr defaultRowHeight="14.4" x14ac:dyDescent="0.3"/>
  <cols>
    <col min="3" max="3" width="23" customWidth="1"/>
  </cols>
  <sheetData>
    <row r="1" spans="3:6" x14ac:dyDescent="0.3">
      <c r="C1" s="21"/>
      <c r="D1" s="21" t="s">
        <v>438</v>
      </c>
      <c r="E1" s="21"/>
      <c r="F1" s="21" t="s">
        <v>441</v>
      </c>
    </row>
    <row r="2" spans="3:6" x14ac:dyDescent="0.3">
      <c r="C2" s="21"/>
      <c r="D2" s="21" t="s">
        <v>439</v>
      </c>
      <c r="E2" s="21"/>
      <c r="F2" s="21" t="s">
        <v>442</v>
      </c>
    </row>
    <row r="3" spans="3:6" x14ac:dyDescent="0.3">
      <c r="C3" s="21"/>
      <c r="D3" s="21" t="s">
        <v>440</v>
      </c>
      <c r="E3" s="21"/>
      <c r="F3" s="21" t="s">
        <v>443</v>
      </c>
    </row>
    <row r="4" spans="3:6" x14ac:dyDescent="0.3">
      <c r="C4" s="21"/>
      <c r="D4" s="21"/>
      <c r="E4" s="21"/>
      <c r="F4" s="21"/>
    </row>
    <row r="5" spans="3:6" x14ac:dyDescent="0.3">
      <c r="C5" s="21" t="s">
        <v>8</v>
      </c>
      <c r="D5" s="25">
        <v>2600</v>
      </c>
      <c r="E5" s="22"/>
      <c r="F5" s="25">
        <v>2600</v>
      </c>
    </row>
    <row r="6" spans="3:6" x14ac:dyDescent="0.3">
      <c r="C6" s="21" t="s">
        <v>425</v>
      </c>
      <c r="D6" s="25">
        <v>870</v>
      </c>
      <c r="E6" s="22"/>
      <c r="F6" s="25">
        <v>870</v>
      </c>
    </row>
    <row r="7" spans="3:6" x14ac:dyDescent="0.3">
      <c r="C7" s="21" t="s">
        <v>435</v>
      </c>
      <c r="D7" s="22"/>
      <c r="E7" s="22"/>
      <c r="F7" s="25">
        <v>400</v>
      </c>
    </row>
    <row r="8" spans="3:6" x14ac:dyDescent="0.3">
      <c r="C8" s="21" t="s">
        <v>36</v>
      </c>
      <c r="D8" s="25">
        <v>900</v>
      </c>
      <c r="E8" s="22"/>
      <c r="F8" s="25">
        <v>200</v>
      </c>
    </row>
    <row r="9" spans="3:6" ht="15" thickBot="1" x14ac:dyDescent="0.35">
      <c r="C9" s="84" t="s">
        <v>73</v>
      </c>
      <c r="D9" s="87">
        <f>D5-D6-D7-D8</f>
        <v>830</v>
      </c>
      <c r="E9" s="87"/>
      <c r="F9" s="87">
        <f>F5-F6-F7-F8</f>
        <v>1130</v>
      </c>
    </row>
    <row r="10" spans="3:6" x14ac:dyDescent="0.3">
      <c r="C10" s="50" t="s">
        <v>277</v>
      </c>
      <c r="D10" s="88">
        <v>600</v>
      </c>
      <c r="E10" s="22"/>
      <c r="F10" s="88">
        <v>200</v>
      </c>
    </row>
    <row r="11" spans="3:6" ht="15" thickBot="1" x14ac:dyDescent="0.35">
      <c r="C11" s="85" t="s">
        <v>426</v>
      </c>
      <c r="D11" s="87">
        <f>D9-D10</f>
        <v>230</v>
      </c>
      <c r="E11" s="87"/>
      <c r="F11" s="87">
        <f>F9-F10</f>
        <v>930</v>
      </c>
    </row>
    <row r="12" spans="3:6" x14ac:dyDescent="0.3">
      <c r="C12" s="50" t="s">
        <v>427</v>
      </c>
      <c r="D12" s="22">
        <f>D11*0.3</f>
        <v>69</v>
      </c>
      <c r="E12" s="22"/>
      <c r="F12" s="22">
        <f>F11*0.3</f>
        <v>279</v>
      </c>
    </row>
    <row r="13" spans="3:6" ht="15" thickBot="1" x14ac:dyDescent="0.35">
      <c r="C13" s="86" t="s">
        <v>302</v>
      </c>
      <c r="D13" s="57">
        <f>D11-D12</f>
        <v>161</v>
      </c>
      <c r="E13" s="57"/>
      <c r="F13" s="57">
        <f>F11-F12</f>
        <v>651</v>
      </c>
    </row>
    <row r="14" spans="3:6" ht="15" thickTop="1" x14ac:dyDescent="0.3">
      <c r="C14" s="21"/>
      <c r="D14" s="21"/>
      <c r="E14" s="21"/>
      <c r="F14" s="21"/>
    </row>
    <row r="15" spans="3:6" x14ac:dyDescent="0.3">
      <c r="C15" s="21" t="s">
        <v>81</v>
      </c>
      <c r="D15" s="21">
        <v>1000</v>
      </c>
      <c r="E15" s="21"/>
      <c r="F15" s="23">
        <v>300</v>
      </c>
    </row>
    <row r="16" spans="3:6" x14ac:dyDescent="0.3">
      <c r="C16" s="21"/>
      <c r="D16" s="21"/>
      <c r="E16" s="21"/>
      <c r="F16" s="21"/>
    </row>
    <row r="17" spans="3:6" x14ac:dyDescent="0.3">
      <c r="C17" s="21" t="s">
        <v>39</v>
      </c>
      <c r="D17" s="21"/>
      <c r="E17" s="21"/>
      <c r="F17" s="21"/>
    </row>
    <row r="18" spans="3:6" x14ac:dyDescent="0.3">
      <c r="C18" s="21" t="s">
        <v>302</v>
      </c>
      <c r="D18" s="23">
        <f>D13</f>
        <v>161</v>
      </c>
      <c r="E18" s="21"/>
      <c r="F18" s="23">
        <f>F13</f>
        <v>651</v>
      </c>
    </row>
    <row r="19" spans="3:6" x14ac:dyDescent="0.3">
      <c r="C19" s="21" t="s">
        <v>428</v>
      </c>
      <c r="D19" s="23">
        <f>D10</f>
        <v>600</v>
      </c>
      <c r="E19" s="21"/>
      <c r="F19" s="23">
        <f>F10</f>
        <v>200</v>
      </c>
    </row>
    <row r="20" spans="3:6" x14ac:dyDescent="0.3">
      <c r="C20" s="21" t="s">
        <v>429</v>
      </c>
      <c r="D20" s="23">
        <f>D12</f>
        <v>69</v>
      </c>
      <c r="E20" s="21"/>
      <c r="F20" s="23">
        <f>F12</f>
        <v>279</v>
      </c>
    </row>
    <row r="21" spans="3:6" x14ac:dyDescent="0.3">
      <c r="C21" s="21" t="s">
        <v>430</v>
      </c>
      <c r="D21" s="23">
        <f>D8</f>
        <v>900</v>
      </c>
      <c r="E21" s="21"/>
      <c r="F21" s="23">
        <f>F8</f>
        <v>200</v>
      </c>
    </row>
    <row r="22" spans="3:6" ht="15" thickBot="1" x14ac:dyDescent="0.35">
      <c r="C22" s="47" t="s">
        <v>34</v>
      </c>
      <c r="D22" s="89">
        <f>SUM(D18:D21)</f>
        <v>1730</v>
      </c>
      <c r="E22" s="47"/>
      <c r="F22" s="89">
        <f>SUM(F18:F21)</f>
        <v>1330</v>
      </c>
    </row>
    <row r="23" spans="3:6" ht="15" thickTop="1" x14ac:dyDescent="0.3">
      <c r="C23" s="21" t="s">
        <v>436</v>
      </c>
      <c r="D23" s="23">
        <f>D7</f>
        <v>0</v>
      </c>
      <c r="E23" s="21"/>
      <c r="F23" s="23">
        <f>F7</f>
        <v>400</v>
      </c>
    </row>
    <row r="24" spans="3:6" ht="15" thickBot="1" x14ac:dyDescent="0.35">
      <c r="C24" s="47" t="s">
        <v>437</v>
      </c>
      <c r="D24" s="89">
        <f>D22+D23</f>
        <v>1730</v>
      </c>
      <c r="E24" s="47"/>
      <c r="F24" s="89">
        <f>F22+F23</f>
        <v>1730</v>
      </c>
    </row>
    <row r="25" spans="3:6" ht="15" thickTop="1" x14ac:dyDescent="0.3">
      <c r="C25" s="21"/>
      <c r="D25" s="21"/>
      <c r="E25" s="21"/>
      <c r="F25" s="21"/>
    </row>
    <row r="26" spans="3:6" x14ac:dyDescent="0.3">
      <c r="C26" s="21" t="s">
        <v>8</v>
      </c>
      <c r="D26" s="23">
        <f>D5</f>
        <v>2600</v>
      </c>
      <c r="E26" s="21"/>
      <c r="F26" s="23">
        <f>F5</f>
        <v>2600</v>
      </c>
    </row>
    <row r="27" spans="3:6" x14ac:dyDescent="0.3">
      <c r="C27" s="21" t="s">
        <v>433</v>
      </c>
      <c r="D27" s="23">
        <f>D6</f>
        <v>870</v>
      </c>
      <c r="E27" s="21"/>
      <c r="F27" s="23">
        <f>F6</f>
        <v>870</v>
      </c>
    </row>
    <row r="28" spans="3:6" ht="15" thickBot="1" x14ac:dyDescent="0.35">
      <c r="C28" s="47" t="s">
        <v>432</v>
      </c>
      <c r="D28" s="89">
        <f>D26-D27</f>
        <v>1730</v>
      </c>
      <c r="E28" s="47"/>
      <c r="F28" s="89">
        <f>F26-F27</f>
        <v>1730</v>
      </c>
    </row>
    <row r="29" spans="3:6" ht="15" thickTop="1" x14ac:dyDescent="0.3">
      <c r="C29" s="21"/>
      <c r="D29" s="21"/>
      <c r="E29" s="21"/>
      <c r="F29" s="21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workbookViewId="0">
      <selection activeCell="H12" sqref="H12"/>
    </sheetView>
  </sheetViews>
  <sheetFormatPr defaultRowHeight="14.4" x14ac:dyDescent="0.3"/>
  <cols>
    <col min="1" max="1" width="1.6640625" style="33" customWidth="1"/>
    <col min="2" max="2" width="1.6640625" style="21" hidden="1" customWidth="1"/>
    <col min="3" max="3" width="27.88671875" style="21" customWidth="1"/>
    <col min="4" max="4" width="9.21875" style="21" customWidth="1"/>
    <col min="5" max="7" width="8.88671875" style="21"/>
    <col min="8" max="8" width="2.109375" style="21" customWidth="1"/>
    <col min="9" max="9" width="2" style="21" customWidth="1"/>
    <col min="10" max="10" width="28.21875" style="21" customWidth="1"/>
    <col min="11" max="16384" width="8.88671875" style="21"/>
  </cols>
  <sheetData>
    <row r="2" spans="1:13" x14ac:dyDescent="0.3">
      <c r="A2" s="33" t="s">
        <v>7</v>
      </c>
      <c r="E2" s="92">
        <v>1</v>
      </c>
      <c r="F2" s="92">
        <v>2</v>
      </c>
      <c r="G2" s="92">
        <v>3</v>
      </c>
      <c r="I2" s="33" t="s">
        <v>14</v>
      </c>
    </row>
    <row r="3" spans="1:13" x14ac:dyDescent="0.3">
      <c r="C3" s="21" t="s">
        <v>450</v>
      </c>
      <c r="E3" s="37">
        <v>1400</v>
      </c>
      <c r="F3" s="37">
        <v>1500</v>
      </c>
      <c r="G3" s="37">
        <v>1650</v>
      </c>
      <c r="I3" s="33"/>
      <c r="J3" s="21" t="s">
        <v>302</v>
      </c>
      <c r="K3" s="21">
        <f>E12</f>
        <v>645</v>
      </c>
      <c r="L3" s="21">
        <f>F12</f>
        <v>414</v>
      </c>
      <c r="M3" s="21">
        <f>G12</f>
        <v>484</v>
      </c>
    </row>
    <row r="4" spans="1:13" x14ac:dyDescent="0.3">
      <c r="C4" s="21" t="s">
        <v>451</v>
      </c>
      <c r="E4" s="37">
        <v>570</v>
      </c>
      <c r="F4" s="37">
        <v>670</v>
      </c>
      <c r="G4" s="37">
        <v>840</v>
      </c>
      <c r="I4" s="33"/>
      <c r="J4" s="21" t="s">
        <v>26</v>
      </c>
      <c r="K4" s="21">
        <f t="shared" ref="K4:M5" si="0">E5</f>
        <v>140</v>
      </c>
      <c r="L4" s="21">
        <f t="shared" si="0"/>
        <v>189</v>
      </c>
      <c r="M4" s="21">
        <f t="shared" si="0"/>
        <v>219</v>
      </c>
    </row>
    <row r="5" spans="1:13" x14ac:dyDescent="0.3">
      <c r="C5" s="21" t="s">
        <v>24</v>
      </c>
      <c r="E5" s="37">
        <v>140</v>
      </c>
      <c r="F5" s="37">
        <v>189</v>
      </c>
      <c r="G5" s="37">
        <v>219</v>
      </c>
      <c r="I5" s="33"/>
      <c r="J5" s="21" t="s">
        <v>455</v>
      </c>
      <c r="K5" s="21">
        <f t="shared" si="0"/>
        <v>0</v>
      </c>
      <c r="L5" s="21">
        <f t="shared" si="0"/>
        <v>159</v>
      </c>
      <c r="M5" s="21">
        <f t="shared" si="0"/>
        <v>20</v>
      </c>
    </row>
    <row r="6" spans="1:13" x14ac:dyDescent="0.3">
      <c r="C6" s="21" t="s">
        <v>469</v>
      </c>
      <c r="E6" s="37">
        <v>0</v>
      </c>
      <c r="F6" s="37">
        <v>159</v>
      </c>
      <c r="G6" s="37">
        <v>20</v>
      </c>
      <c r="I6" s="33"/>
      <c r="J6" s="21" t="s">
        <v>462</v>
      </c>
      <c r="K6" s="21">
        <f>E8</f>
        <v>5</v>
      </c>
      <c r="L6" s="21">
        <f>F8</f>
        <v>7</v>
      </c>
      <c r="M6" s="21">
        <f>G8</f>
        <v>3</v>
      </c>
    </row>
    <row r="7" spans="1:13" ht="15" thickBot="1" x14ac:dyDescent="0.35">
      <c r="A7" s="21"/>
      <c r="C7" s="21" t="s">
        <v>470</v>
      </c>
      <c r="E7" s="24">
        <v>30</v>
      </c>
      <c r="F7" s="24">
        <v>35</v>
      </c>
      <c r="G7" s="24">
        <v>25</v>
      </c>
      <c r="I7" s="33"/>
      <c r="J7" s="84" t="s">
        <v>456</v>
      </c>
      <c r="K7" s="84">
        <f>SUM(K3:K5)</f>
        <v>785</v>
      </c>
      <c r="L7" s="84">
        <f>SUM(L3:L5)</f>
        <v>762</v>
      </c>
      <c r="M7" s="84">
        <f>SUM(M3:M5)</f>
        <v>723</v>
      </c>
    </row>
    <row r="8" spans="1:13" x14ac:dyDescent="0.3">
      <c r="A8" s="21"/>
      <c r="C8" s="21" t="s">
        <v>462</v>
      </c>
      <c r="E8" s="24">
        <v>5</v>
      </c>
      <c r="F8" s="24">
        <v>7</v>
      </c>
      <c r="G8" s="24">
        <v>3</v>
      </c>
      <c r="I8" s="33"/>
      <c r="J8" s="21" t="s">
        <v>380</v>
      </c>
      <c r="K8" s="24">
        <v>-40</v>
      </c>
      <c r="L8" s="24">
        <v>-130</v>
      </c>
      <c r="M8" s="24">
        <v>-210</v>
      </c>
    </row>
    <row r="9" spans="1:13" x14ac:dyDescent="0.3">
      <c r="C9" s="35" t="s">
        <v>73</v>
      </c>
      <c r="D9" s="35"/>
      <c r="E9" s="75">
        <f>E3-E4-E5-E6+E8-E7</f>
        <v>665</v>
      </c>
      <c r="F9" s="75">
        <f t="shared" ref="F9:G9" si="1">F3-F4-F5-F6+F8-F7</f>
        <v>454</v>
      </c>
      <c r="G9" s="75">
        <f t="shared" si="1"/>
        <v>549</v>
      </c>
      <c r="I9" s="33"/>
      <c r="J9" s="21" t="s">
        <v>466</v>
      </c>
      <c r="K9" s="24">
        <v>-20</v>
      </c>
      <c r="L9" s="24">
        <v>-30</v>
      </c>
      <c r="M9" s="24">
        <v>-50</v>
      </c>
    </row>
    <row r="10" spans="1:13" x14ac:dyDescent="0.3">
      <c r="C10" s="21" t="s">
        <v>453</v>
      </c>
      <c r="E10" s="37">
        <v>40</v>
      </c>
      <c r="F10" s="37">
        <v>50</v>
      </c>
      <c r="G10" s="37">
        <v>80</v>
      </c>
      <c r="I10" s="33"/>
      <c r="J10" s="21" t="s">
        <v>467</v>
      </c>
      <c r="K10" s="24">
        <v>-120</v>
      </c>
      <c r="L10" s="24">
        <v>-30</v>
      </c>
      <c r="M10" s="24">
        <v>-29</v>
      </c>
    </row>
    <row r="11" spans="1:13" x14ac:dyDescent="0.3">
      <c r="C11" s="21" t="s">
        <v>454</v>
      </c>
      <c r="E11" s="37">
        <v>20</v>
      </c>
      <c r="F11" s="37">
        <v>10</v>
      </c>
      <c r="G11" s="37">
        <v>15</v>
      </c>
      <c r="I11" s="33"/>
      <c r="J11" s="21" t="s">
        <v>381</v>
      </c>
      <c r="K11" s="24">
        <v>30</v>
      </c>
      <c r="L11" s="24">
        <v>20</v>
      </c>
      <c r="M11" s="24">
        <v>15</v>
      </c>
    </row>
    <row r="12" spans="1:13" ht="15" thickBot="1" x14ac:dyDescent="0.35">
      <c r="C12" s="47" t="s">
        <v>302</v>
      </c>
      <c r="D12" s="47"/>
      <c r="E12" s="76">
        <f>E9-E10+E11</f>
        <v>645</v>
      </c>
      <c r="F12" s="76">
        <f t="shared" ref="F12:G12" si="2">F9-F10+F11</f>
        <v>414</v>
      </c>
      <c r="G12" s="76">
        <f t="shared" si="2"/>
        <v>484</v>
      </c>
      <c r="I12" s="33"/>
      <c r="J12" s="84" t="s">
        <v>379</v>
      </c>
      <c r="K12" s="84">
        <f>SUM(K8:K11)</f>
        <v>-150</v>
      </c>
      <c r="L12" s="84">
        <f>SUM(L8:L11)</f>
        <v>-170</v>
      </c>
      <c r="M12" s="84">
        <f>SUM(M8:M11)</f>
        <v>-274</v>
      </c>
    </row>
    <row r="13" spans="1:13" ht="15" thickTop="1" x14ac:dyDescent="0.3">
      <c r="A13" s="21"/>
      <c r="I13" s="33"/>
      <c r="J13" s="21" t="s">
        <v>457</v>
      </c>
      <c r="K13" s="24">
        <v>200</v>
      </c>
      <c r="L13" s="24">
        <v>130</v>
      </c>
      <c r="M13" s="24">
        <v>150</v>
      </c>
    </row>
    <row r="14" spans="1:13" x14ac:dyDescent="0.3">
      <c r="A14" s="21"/>
      <c r="I14" s="33"/>
      <c r="J14" s="21" t="s">
        <v>458</v>
      </c>
      <c r="K14" s="24">
        <v>-300</v>
      </c>
      <c r="L14" s="24">
        <v>-600</v>
      </c>
      <c r="M14" s="24">
        <v>-250</v>
      </c>
    </row>
    <row r="15" spans="1:13" x14ac:dyDescent="0.3">
      <c r="J15" s="21" t="s">
        <v>459</v>
      </c>
      <c r="K15" s="24">
        <v>-500</v>
      </c>
      <c r="L15" s="24">
        <v>-200</v>
      </c>
      <c r="M15" s="24">
        <v>-400</v>
      </c>
    </row>
    <row r="16" spans="1:13" ht="15" thickBot="1" x14ac:dyDescent="0.35">
      <c r="J16" s="84" t="s">
        <v>460</v>
      </c>
      <c r="K16" s="84">
        <f>SUM(K13:K15)</f>
        <v>-600</v>
      </c>
      <c r="L16" s="84">
        <f>SUM(L13:L15)</f>
        <v>-670</v>
      </c>
      <c r="M16" s="84">
        <f>SUM(M13:M15)</f>
        <v>-500</v>
      </c>
    </row>
    <row r="17" spans="1:13" x14ac:dyDescent="0.3">
      <c r="J17" s="21" t="s">
        <v>17</v>
      </c>
      <c r="K17" s="21">
        <f>K7+K12+K16</f>
        <v>35</v>
      </c>
      <c r="L17" s="21">
        <f>L7+L12+L16</f>
        <v>-78</v>
      </c>
      <c r="M17" s="21">
        <f>M7+M12+M16</f>
        <v>-51</v>
      </c>
    </row>
    <row r="19" spans="1:13" x14ac:dyDescent="0.3">
      <c r="A19" s="33" t="s">
        <v>464</v>
      </c>
      <c r="D19" s="91"/>
      <c r="E19" s="92">
        <v>1</v>
      </c>
      <c r="F19" s="92">
        <v>2</v>
      </c>
      <c r="G19" s="92">
        <v>3</v>
      </c>
    </row>
    <row r="20" spans="1:13" x14ac:dyDescent="0.3">
      <c r="C20" s="21" t="s">
        <v>77</v>
      </c>
      <c r="D20" s="21" t="str">
        <f ca="1">_xlfn.FORMULATEXT(E20)</f>
        <v>=D25</v>
      </c>
      <c r="E20" s="34">
        <f>D25</f>
        <v>1000</v>
      </c>
      <c r="F20" s="34">
        <f t="shared" ref="F20:G20" si="3">E25</f>
        <v>1110</v>
      </c>
      <c r="G20" s="34">
        <f t="shared" si="3"/>
        <v>976</v>
      </c>
    </row>
    <row r="21" spans="1:13" x14ac:dyDescent="0.3">
      <c r="C21" s="21" t="s">
        <v>465</v>
      </c>
      <c r="D21" s="21" t="str">
        <f t="shared" ref="D21:D24" ca="1" si="4">_xlfn.FORMULATEXT(E21)</f>
        <v>=-K9</v>
      </c>
      <c r="E21" s="34">
        <f>-K9</f>
        <v>20</v>
      </c>
      <c r="F21" s="34">
        <f t="shared" ref="F21:G21" si="5">-L9</f>
        <v>30</v>
      </c>
      <c r="G21" s="34">
        <f t="shared" si="5"/>
        <v>50</v>
      </c>
    </row>
    <row r="22" spans="1:13" x14ac:dyDescent="0.3">
      <c r="C22" s="21" t="s">
        <v>468</v>
      </c>
      <c r="D22" s="21" t="str">
        <f t="shared" ca="1" si="4"/>
        <v>=-K10</v>
      </c>
      <c r="E22" s="21">
        <f>-K10</f>
        <v>120</v>
      </c>
      <c r="F22" s="21">
        <f t="shared" ref="F22:G22" si="6">-L10</f>
        <v>30</v>
      </c>
      <c r="G22" s="21">
        <f t="shared" si="6"/>
        <v>29</v>
      </c>
    </row>
    <row r="23" spans="1:13" x14ac:dyDescent="0.3">
      <c r="C23" s="21" t="s">
        <v>452</v>
      </c>
      <c r="D23" s="21" t="str">
        <f t="shared" ca="1" si="4"/>
        <v>=-E6</v>
      </c>
      <c r="E23" s="34">
        <f>-E6</f>
        <v>0</v>
      </c>
      <c r="F23" s="34">
        <f t="shared" ref="F23:G23" si="7">-F6</f>
        <v>-159</v>
      </c>
      <c r="G23" s="34">
        <f t="shared" si="7"/>
        <v>-20</v>
      </c>
    </row>
    <row r="24" spans="1:13" x14ac:dyDescent="0.3">
      <c r="C24" s="21" t="s">
        <v>471</v>
      </c>
      <c r="D24" s="21" t="str">
        <f t="shared" ca="1" si="4"/>
        <v>=-E7</v>
      </c>
      <c r="E24" s="34">
        <f>-E7</f>
        <v>-30</v>
      </c>
      <c r="F24" s="34">
        <f t="shared" ref="F24:G24" si="8">-F7</f>
        <v>-35</v>
      </c>
      <c r="G24" s="34">
        <f t="shared" si="8"/>
        <v>-25</v>
      </c>
    </row>
    <row r="25" spans="1:13" x14ac:dyDescent="0.3">
      <c r="A25" s="21"/>
      <c r="C25" s="21" t="s">
        <v>79</v>
      </c>
      <c r="D25" s="37">
        <v>1000</v>
      </c>
      <c r="E25" s="34">
        <f>SUM(E20:E24)</f>
        <v>1110</v>
      </c>
      <c r="F25" s="34">
        <f t="shared" ref="F25:G25" si="9">SUM(F20:F24)</f>
        <v>976</v>
      </c>
      <c r="G25" s="34">
        <f t="shared" si="9"/>
        <v>1010</v>
      </c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8"/>
  <sheetViews>
    <sheetView workbookViewId="0">
      <selection activeCell="H12" sqref="H12"/>
    </sheetView>
  </sheetViews>
  <sheetFormatPr defaultRowHeight="14.4" x14ac:dyDescent="0.3"/>
  <cols>
    <col min="3" max="3" width="17.109375" customWidth="1"/>
    <col min="4" max="4" width="0" hidden="1" customWidth="1"/>
  </cols>
  <sheetData>
    <row r="4" spans="3:6" x14ac:dyDescent="0.3">
      <c r="C4" t="s">
        <v>7</v>
      </c>
      <c r="F4" t="s">
        <v>506</v>
      </c>
    </row>
    <row r="5" spans="3:6" x14ac:dyDescent="0.3">
      <c r="C5" t="s">
        <v>578</v>
      </c>
      <c r="F5">
        <v>100</v>
      </c>
    </row>
    <row r="7" spans="3:6" x14ac:dyDescent="0.3">
      <c r="C7" t="s">
        <v>4</v>
      </c>
      <c r="E7" t="s">
        <v>507</v>
      </c>
      <c r="F7" t="s">
        <v>508</v>
      </c>
    </row>
    <row r="8" spans="3:6" x14ac:dyDescent="0.3">
      <c r="C8" t="s">
        <v>486</v>
      </c>
      <c r="E8">
        <v>12</v>
      </c>
      <c r="F8">
        <v>15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topLeftCell="C1" workbookViewId="0">
      <selection activeCell="H12" sqref="H12"/>
    </sheetView>
  </sheetViews>
  <sheetFormatPr defaultRowHeight="14.4" x14ac:dyDescent="0.3"/>
  <cols>
    <col min="1" max="1" width="0.77734375" style="90" customWidth="1"/>
    <col min="2" max="2" width="0.77734375" style="93" customWidth="1"/>
    <col min="3" max="3" width="0.77734375" customWidth="1"/>
    <col min="4" max="4" width="29" customWidth="1"/>
    <col min="7" max="7" width="2.88671875" customWidth="1"/>
    <col min="8" max="8" width="1.33203125" style="90" customWidth="1"/>
    <col min="9" max="9" width="1.33203125" style="93" customWidth="1"/>
    <col min="10" max="10" width="1.33203125" customWidth="1"/>
    <col min="11" max="11" width="24.5546875" customWidth="1"/>
    <col min="15" max="17" width="1.44140625" customWidth="1"/>
    <col min="18" max="18" width="29.21875" customWidth="1"/>
  </cols>
  <sheetData>
    <row r="2" spans="1:21" x14ac:dyDescent="0.3">
      <c r="E2" s="2" t="s">
        <v>22</v>
      </c>
      <c r="F2" s="2" t="s">
        <v>23</v>
      </c>
      <c r="L2" s="2" t="s">
        <v>22</v>
      </c>
      <c r="M2" s="2" t="s">
        <v>23</v>
      </c>
    </row>
    <row r="3" spans="1:21" x14ac:dyDescent="0.3">
      <c r="A3" s="90" t="s">
        <v>47</v>
      </c>
      <c r="H3" s="90" t="s">
        <v>484</v>
      </c>
    </row>
    <row r="4" spans="1:21" x14ac:dyDescent="0.3">
      <c r="B4" s="93" t="s">
        <v>472</v>
      </c>
      <c r="I4" s="93" t="s">
        <v>483</v>
      </c>
    </row>
    <row r="5" spans="1:21" x14ac:dyDescent="0.3">
      <c r="C5" t="s">
        <v>473</v>
      </c>
      <c r="E5" s="5">
        <v>100</v>
      </c>
      <c r="F5" s="5">
        <v>200</v>
      </c>
      <c r="J5" t="s">
        <v>485</v>
      </c>
      <c r="L5" s="5">
        <v>120</v>
      </c>
      <c r="M5" s="5">
        <v>130</v>
      </c>
    </row>
    <row r="6" spans="1:21" x14ac:dyDescent="0.3">
      <c r="C6" t="s">
        <v>474</v>
      </c>
      <c r="E6" s="5">
        <v>250</v>
      </c>
      <c r="F6" s="5">
        <v>310</v>
      </c>
      <c r="J6" t="s">
        <v>486</v>
      </c>
      <c r="L6" s="5">
        <v>215</v>
      </c>
      <c r="M6" s="5">
        <v>234</v>
      </c>
      <c r="O6" t="s">
        <v>499</v>
      </c>
      <c r="S6" s="2" t="s">
        <v>22</v>
      </c>
      <c r="T6" s="2" t="s">
        <v>23</v>
      </c>
    </row>
    <row r="7" spans="1:21" x14ac:dyDescent="0.3">
      <c r="C7" t="s">
        <v>475</v>
      </c>
      <c r="E7" s="5">
        <v>300</v>
      </c>
      <c r="F7" s="5">
        <v>340</v>
      </c>
      <c r="J7" t="s">
        <v>487</v>
      </c>
      <c r="L7" s="5">
        <v>134</v>
      </c>
      <c r="M7" s="5">
        <v>154</v>
      </c>
      <c r="P7" t="s">
        <v>500</v>
      </c>
    </row>
    <row r="8" spans="1:21" x14ac:dyDescent="0.3">
      <c r="C8" t="s">
        <v>476</v>
      </c>
      <c r="E8" s="5">
        <v>320</v>
      </c>
      <c r="F8" s="5">
        <v>310</v>
      </c>
      <c r="J8" t="s">
        <v>488</v>
      </c>
      <c r="L8" s="5">
        <v>125</v>
      </c>
      <c r="M8" s="5">
        <v>129</v>
      </c>
      <c r="Q8" t="str">
        <f>C7</f>
        <v>Accounts Receivable</v>
      </c>
      <c r="S8" s="5">
        <f>E7</f>
        <v>300</v>
      </c>
      <c r="T8" s="5">
        <f>F7</f>
        <v>340</v>
      </c>
      <c r="U8" t="str">
        <f ca="1">_xlfn.FORMULATEXT(T8)</f>
        <v>=F7</v>
      </c>
    </row>
    <row r="9" spans="1:21" x14ac:dyDescent="0.3">
      <c r="C9" t="s">
        <v>477</v>
      </c>
      <c r="E9" s="5">
        <v>210</v>
      </c>
      <c r="F9" s="5">
        <v>230</v>
      </c>
      <c r="J9" t="s">
        <v>489</v>
      </c>
      <c r="L9" s="5">
        <v>50</v>
      </c>
      <c r="M9" s="5">
        <v>65</v>
      </c>
      <c r="Q9" t="str">
        <f>C9</f>
        <v>Pre-paid Expenses</v>
      </c>
      <c r="S9" s="5">
        <f>E9</f>
        <v>210</v>
      </c>
      <c r="T9" s="5">
        <f>F9</f>
        <v>230</v>
      </c>
      <c r="U9" t="str">
        <f t="shared" ref="U9:U18" ca="1" si="0">_xlfn.FORMULATEXT(T9)</f>
        <v>=F9</v>
      </c>
    </row>
    <row r="10" spans="1:21" x14ac:dyDescent="0.3">
      <c r="C10" t="s">
        <v>51</v>
      </c>
      <c r="E10" s="5">
        <v>240</v>
      </c>
      <c r="F10" s="5">
        <v>235</v>
      </c>
      <c r="J10" t="s">
        <v>495</v>
      </c>
      <c r="L10" s="5">
        <v>34</v>
      </c>
      <c r="M10" s="5">
        <v>36</v>
      </c>
      <c r="Q10" t="str">
        <f>C10</f>
        <v>Inventories</v>
      </c>
      <c r="S10" s="5">
        <f>E10</f>
        <v>240</v>
      </c>
      <c r="T10" s="5">
        <f>F10</f>
        <v>235</v>
      </c>
      <c r="U10" t="str">
        <f t="shared" ca="1" si="0"/>
        <v>=F10</v>
      </c>
    </row>
    <row r="11" spans="1:21" ht="15" thickBot="1" x14ac:dyDescent="0.35">
      <c r="D11" s="1" t="s">
        <v>481</v>
      </c>
      <c r="E11" s="7">
        <f>SUM(E5:E10)</f>
        <v>1420</v>
      </c>
      <c r="F11" s="7">
        <f>SUM(F5:F10)</f>
        <v>1625</v>
      </c>
      <c r="K11" s="1" t="s">
        <v>490</v>
      </c>
      <c r="L11" s="7">
        <f>SUM(L5:L10)</f>
        <v>678</v>
      </c>
      <c r="M11" s="7">
        <f>SUM(M5:M10)</f>
        <v>748</v>
      </c>
      <c r="R11" s="8" t="s">
        <v>503</v>
      </c>
      <c r="S11" s="9">
        <f>SUM(S8:S10)</f>
        <v>750</v>
      </c>
      <c r="T11" s="9">
        <f>SUM(T8:T10)</f>
        <v>805</v>
      </c>
      <c r="U11" t="str">
        <f t="shared" ca="1" si="0"/>
        <v>=SUM(T8:T10)</v>
      </c>
    </row>
    <row r="12" spans="1:21" x14ac:dyDescent="0.3">
      <c r="B12" s="93" t="s">
        <v>478</v>
      </c>
      <c r="E12" s="5"/>
      <c r="F12" s="5"/>
      <c r="I12" s="93" t="s">
        <v>494</v>
      </c>
      <c r="L12" s="5"/>
      <c r="M12" s="5"/>
      <c r="P12" t="s">
        <v>501</v>
      </c>
    </row>
    <row r="13" spans="1:21" x14ac:dyDescent="0.3">
      <c r="C13" t="s">
        <v>479</v>
      </c>
      <c r="E13" s="5">
        <v>3200</v>
      </c>
      <c r="F13" s="5">
        <v>3400</v>
      </c>
      <c r="J13" t="s">
        <v>491</v>
      </c>
      <c r="L13" s="5">
        <v>2450</v>
      </c>
      <c r="M13" s="5">
        <v>2633</v>
      </c>
      <c r="Q13" t="str">
        <f>J6</f>
        <v>Accounts Payable</v>
      </c>
      <c r="S13" s="5">
        <f>L6</f>
        <v>215</v>
      </c>
      <c r="T13" s="5">
        <f>M6</f>
        <v>234</v>
      </c>
      <c r="U13" t="str">
        <f t="shared" ca="1" si="0"/>
        <v>=M6</v>
      </c>
    </row>
    <row r="14" spans="1:21" x14ac:dyDescent="0.3">
      <c r="C14" t="s">
        <v>480</v>
      </c>
      <c r="E14" s="5">
        <v>200</v>
      </c>
      <c r="F14" s="5">
        <v>200</v>
      </c>
      <c r="J14" t="s">
        <v>492</v>
      </c>
      <c r="L14" s="5">
        <v>112</v>
      </c>
      <c r="M14" s="5">
        <v>115</v>
      </c>
      <c r="Q14" t="str">
        <f>J7</f>
        <v>Accrued Expenses</v>
      </c>
      <c r="S14" s="5">
        <f>L7</f>
        <v>134</v>
      </c>
      <c r="T14" s="5">
        <f>M7</f>
        <v>154</v>
      </c>
      <c r="U14" t="str">
        <f t="shared" ca="1" si="0"/>
        <v>=M7</v>
      </c>
    </row>
    <row r="15" spans="1:21" ht="15" thickBot="1" x14ac:dyDescent="0.35">
      <c r="D15" s="10" t="s">
        <v>482</v>
      </c>
      <c r="E15" s="11">
        <f>SUM(E13:E14)</f>
        <v>3400</v>
      </c>
      <c r="F15" s="11">
        <f>SUM(F13:F14)</f>
        <v>3600</v>
      </c>
      <c r="J15" t="s">
        <v>498</v>
      </c>
      <c r="L15" s="5">
        <v>234</v>
      </c>
      <c r="M15" s="5">
        <v>343</v>
      </c>
      <c r="R15" s="8" t="s">
        <v>502</v>
      </c>
      <c r="S15" s="9">
        <f>SUM(S13:S14)</f>
        <v>349</v>
      </c>
      <c r="T15" s="9">
        <f>SUM(T13:T14)</f>
        <v>388</v>
      </c>
      <c r="U15" t="str">
        <f t="shared" ca="1" si="0"/>
        <v>=SUM(T13:T14)</v>
      </c>
    </row>
    <row r="16" spans="1:21" ht="15.6" thickTop="1" thickBot="1" x14ac:dyDescent="0.35">
      <c r="D16" s="8" t="s">
        <v>323</v>
      </c>
      <c r="E16" s="9">
        <f>E11+E15</f>
        <v>4820</v>
      </c>
      <c r="F16" s="9">
        <f>F11+F15</f>
        <v>5225</v>
      </c>
      <c r="K16" s="1" t="s">
        <v>493</v>
      </c>
      <c r="L16" s="7">
        <f>SUM(L13:L15)</f>
        <v>2796</v>
      </c>
      <c r="M16" s="7">
        <f>SUM(M13:M15)</f>
        <v>3091</v>
      </c>
    </row>
    <row r="17" spans="9:21" ht="15.6" thickTop="1" thickBot="1" x14ac:dyDescent="0.35">
      <c r="I17" s="93" t="s">
        <v>496</v>
      </c>
      <c r="L17" s="5">
        <f>E16-L16-L11</f>
        <v>1346</v>
      </c>
      <c r="M17" s="5">
        <f>F16-M16-M11</f>
        <v>1386</v>
      </c>
      <c r="R17" t="s">
        <v>504</v>
      </c>
      <c r="S17" s="5">
        <f>S11-S15</f>
        <v>401</v>
      </c>
      <c r="T17" s="5">
        <f>T11-T15</f>
        <v>417</v>
      </c>
      <c r="U17" t="str">
        <f t="shared" ca="1" si="0"/>
        <v>=T11-T15</v>
      </c>
    </row>
    <row r="18" spans="9:21" ht="15" thickBot="1" x14ac:dyDescent="0.35">
      <c r="K18" s="8" t="s">
        <v>497</v>
      </c>
      <c r="L18" s="9">
        <f>L17+L16+L11</f>
        <v>4820</v>
      </c>
      <c r="M18" s="9">
        <f>M17+M16+M11</f>
        <v>5225</v>
      </c>
      <c r="R18" s="8" t="s">
        <v>505</v>
      </c>
      <c r="S18" s="9"/>
      <c r="T18" s="94">
        <f>T17-S17</f>
        <v>16</v>
      </c>
      <c r="U18" t="str">
        <f t="shared" ca="1" si="0"/>
        <v>=T17-S17</v>
      </c>
    </row>
    <row r="19" spans="9:21" ht="15" thickTop="1" x14ac:dyDescent="0.3"/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6" max="17" width="2" customWidth="1"/>
    <col min="18" max="18" width="20" customWidth="1"/>
  </cols>
  <sheetData>
    <row r="2" spans="1:19" x14ac:dyDescent="0.3">
      <c r="A2" s="90" t="s">
        <v>7</v>
      </c>
      <c r="F2" s="90" t="s">
        <v>14</v>
      </c>
      <c r="K2" s="97"/>
      <c r="L2" s="6"/>
      <c r="M2" s="6"/>
      <c r="N2" s="6"/>
      <c r="O2" s="6"/>
      <c r="P2" s="97"/>
      <c r="Q2" s="6"/>
      <c r="R2" s="6"/>
      <c r="S2" s="6"/>
    </row>
    <row r="3" spans="1:19" x14ac:dyDescent="0.3">
      <c r="B3" t="s">
        <v>8</v>
      </c>
      <c r="D3">
        <v>1950</v>
      </c>
      <c r="G3" t="s">
        <v>302</v>
      </c>
      <c r="I3" s="19">
        <f>D16</f>
        <v>352.1</v>
      </c>
      <c r="K3" s="6"/>
      <c r="L3" s="6"/>
      <c r="M3" s="6"/>
      <c r="N3" s="62"/>
      <c r="O3" s="6"/>
      <c r="P3" s="6"/>
      <c r="Q3" s="6"/>
      <c r="R3" s="6"/>
      <c r="S3" s="6"/>
    </row>
    <row r="4" spans="1:19" x14ac:dyDescent="0.3">
      <c r="B4" t="s">
        <v>552</v>
      </c>
      <c r="D4">
        <v>1120</v>
      </c>
      <c r="G4" t="s">
        <v>26</v>
      </c>
      <c r="I4">
        <f>D5</f>
        <v>350</v>
      </c>
      <c r="K4" s="6"/>
      <c r="L4" s="6"/>
      <c r="M4" s="6"/>
      <c r="N4" s="6"/>
      <c r="O4" s="6"/>
      <c r="P4" s="6"/>
      <c r="Q4" s="6"/>
      <c r="R4" s="6"/>
      <c r="S4" s="6"/>
    </row>
    <row r="5" spans="1:19" x14ac:dyDescent="0.3">
      <c r="B5" t="s">
        <v>24</v>
      </c>
      <c r="D5">
        <v>350</v>
      </c>
      <c r="G5" t="s">
        <v>561</v>
      </c>
      <c r="I5">
        <f>D15</f>
        <v>15</v>
      </c>
      <c r="K5" s="6"/>
      <c r="L5" s="6"/>
      <c r="M5" s="6"/>
      <c r="N5" s="6"/>
      <c r="O5" s="6"/>
      <c r="P5" s="6"/>
      <c r="Q5" s="6"/>
      <c r="R5" s="6"/>
      <c r="S5" s="6"/>
    </row>
    <row r="6" spans="1:19" x14ac:dyDescent="0.3">
      <c r="B6" t="s">
        <v>452</v>
      </c>
      <c r="D6">
        <v>60</v>
      </c>
      <c r="G6" t="s">
        <v>455</v>
      </c>
      <c r="I6">
        <f>D6</f>
        <v>60</v>
      </c>
      <c r="K6" s="6"/>
      <c r="L6" s="6"/>
      <c r="M6" s="6"/>
      <c r="N6" s="6"/>
      <c r="O6" s="6"/>
      <c r="P6" s="6"/>
      <c r="Q6" s="6"/>
      <c r="R6" s="6"/>
      <c r="S6" s="6"/>
    </row>
    <row r="7" spans="1:19" x14ac:dyDescent="0.3">
      <c r="B7" s="17" t="s">
        <v>73</v>
      </c>
      <c r="C7" s="17"/>
      <c r="D7" s="17">
        <f>D3-D4-D5-D6</f>
        <v>420</v>
      </c>
      <c r="G7" t="s">
        <v>558</v>
      </c>
      <c r="I7">
        <f>-D8</f>
        <v>-43</v>
      </c>
      <c r="K7" s="6"/>
      <c r="L7" s="6"/>
      <c r="M7" s="6"/>
      <c r="N7" s="6"/>
      <c r="O7" s="6"/>
      <c r="P7" s="6"/>
      <c r="Q7" s="6"/>
      <c r="R7" s="6"/>
      <c r="S7" s="6"/>
    </row>
    <row r="8" spans="1:19" x14ac:dyDescent="0.3">
      <c r="B8" t="s">
        <v>553</v>
      </c>
      <c r="D8" s="15">
        <v>43</v>
      </c>
      <c r="G8" t="s">
        <v>559</v>
      </c>
      <c r="I8">
        <v>-32</v>
      </c>
      <c r="K8" s="6"/>
      <c r="L8" s="6"/>
      <c r="M8" s="6"/>
      <c r="N8" s="6"/>
      <c r="O8" s="6"/>
      <c r="P8" s="6"/>
      <c r="Q8" s="6"/>
      <c r="R8" s="6"/>
      <c r="S8" s="62"/>
    </row>
    <row r="9" spans="1:19" x14ac:dyDescent="0.3">
      <c r="B9" t="s">
        <v>554</v>
      </c>
      <c r="D9" s="15">
        <v>102</v>
      </c>
      <c r="G9" t="s">
        <v>560</v>
      </c>
      <c r="I9">
        <f>-D10</f>
        <v>18</v>
      </c>
      <c r="K9" s="6"/>
      <c r="L9" s="6"/>
      <c r="M9" s="6"/>
      <c r="N9" s="6"/>
      <c r="O9" s="6"/>
      <c r="P9" s="6"/>
      <c r="Q9" s="6"/>
      <c r="R9" s="6"/>
      <c r="S9" s="6"/>
    </row>
    <row r="10" spans="1:19" ht="15" thickBot="1" x14ac:dyDescent="0.35">
      <c r="B10" t="s">
        <v>572</v>
      </c>
      <c r="D10" s="15">
        <v>-18</v>
      </c>
      <c r="H10" s="8" t="s">
        <v>562</v>
      </c>
      <c r="I10" s="20">
        <f>SUM(I3:I9)</f>
        <v>720.1</v>
      </c>
      <c r="K10" s="6"/>
      <c r="L10" s="6"/>
      <c r="M10" s="6"/>
      <c r="N10" s="6"/>
      <c r="O10" s="6"/>
      <c r="P10" s="6"/>
      <c r="Q10" s="6"/>
      <c r="R10" s="6"/>
      <c r="S10" s="6"/>
    </row>
    <row r="11" spans="1:19" ht="15" thickTop="1" x14ac:dyDescent="0.3">
      <c r="B11" t="s">
        <v>453</v>
      </c>
      <c r="D11">
        <v>-56</v>
      </c>
      <c r="K11" s="6"/>
      <c r="L11" s="6"/>
      <c r="M11" s="6"/>
      <c r="N11" s="62"/>
      <c r="O11" s="6"/>
      <c r="P11" s="6"/>
      <c r="Q11" s="6"/>
      <c r="R11" s="6"/>
      <c r="S11" s="6"/>
    </row>
    <row r="12" spans="1:19" x14ac:dyDescent="0.3">
      <c r="B12" t="s">
        <v>454</v>
      </c>
      <c r="D12">
        <v>12</v>
      </c>
      <c r="K12" s="6"/>
      <c r="L12" s="6"/>
      <c r="M12" s="6"/>
      <c r="N12" s="62"/>
      <c r="O12" s="6"/>
      <c r="P12" s="6"/>
      <c r="Q12" s="6"/>
      <c r="R12" s="6"/>
      <c r="S12" s="6"/>
    </row>
    <row r="13" spans="1:19" x14ac:dyDescent="0.3">
      <c r="B13" s="17" t="s">
        <v>392</v>
      </c>
      <c r="C13" s="17"/>
      <c r="D13" s="17">
        <f>D7+D8+D9+D10+D11+D12</f>
        <v>503</v>
      </c>
      <c r="K13" s="6"/>
      <c r="L13" s="6"/>
      <c r="M13" s="6"/>
      <c r="N13" s="6"/>
      <c r="O13" s="6"/>
      <c r="P13" s="6"/>
      <c r="Q13" s="6"/>
      <c r="R13" s="6"/>
      <c r="S13" s="6"/>
    </row>
    <row r="14" spans="1:19" x14ac:dyDescent="0.3">
      <c r="B14" t="s">
        <v>556</v>
      </c>
      <c r="D14" s="19">
        <f>D13*0.3-15</f>
        <v>135.9</v>
      </c>
      <c r="K14" s="6"/>
      <c r="L14" s="6"/>
      <c r="M14" s="6"/>
      <c r="N14" s="6"/>
      <c r="O14" s="6"/>
      <c r="P14" s="6"/>
      <c r="Q14" s="6"/>
      <c r="R14" s="6"/>
      <c r="S14" s="6"/>
    </row>
    <row r="15" spans="1:19" x14ac:dyDescent="0.3">
      <c r="B15" t="s">
        <v>557</v>
      </c>
      <c r="D15" s="15">
        <v>15</v>
      </c>
      <c r="K15" s="6"/>
      <c r="L15" s="6"/>
      <c r="M15" s="6"/>
      <c r="N15" s="6"/>
      <c r="O15" s="6"/>
      <c r="P15" s="6"/>
      <c r="Q15" s="6"/>
      <c r="R15" s="6"/>
      <c r="S15" s="6"/>
    </row>
    <row r="16" spans="1:19" ht="15" thickBot="1" x14ac:dyDescent="0.35">
      <c r="B16" s="8" t="s">
        <v>302</v>
      </c>
      <c r="C16" s="8"/>
      <c r="D16" s="20">
        <f>D13-D14-D15</f>
        <v>352.1</v>
      </c>
    </row>
    <row r="17" ht="15" thickTop="1" x14ac:dyDescent="0.3"/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6" max="17" width="2" customWidth="1"/>
    <col min="18" max="18" width="20" customWidth="1"/>
  </cols>
  <sheetData>
    <row r="2" spans="1:19" x14ac:dyDescent="0.3">
      <c r="A2" s="90" t="s">
        <v>7</v>
      </c>
      <c r="F2" s="90" t="s">
        <v>14</v>
      </c>
      <c r="K2" s="97"/>
      <c r="L2" s="6"/>
      <c r="M2" s="6"/>
      <c r="N2" s="6"/>
      <c r="O2" s="6"/>
      <c r="P2" s="97"/>
      <c r="Q2" s="6"/>
      <c r="R2" s="6"/>
      <c r="S2" s="6"/>
    </row>
    <row r="3" spans="1:19" x14ac:dyDescent="0.3">
      <c r="B3" t="s">
        <v>8</v>
      </c>
      <c r="D3">
        <v>1950</v>
      </c>
      <c r="G3" t="s">
        <v>302</v>
      </c>
      <c r="I3" s="19">
        <f>D16</f>
        <v>352.1</v>
      </c>
      <c r="K3" s="6"/>
      <c r="L3" s="6"/>
      <c r="M3" s="6"/>
      <c r="N3" s="62"/>
      <c r="O3" s="6"/>
      <c r="P3" s="6"/>
      <c r="Q3" s="6"/>
      <c r="R3" s="6"/>
      <c r="S3" s="6"/>
    </row>
    <row r="4" spans="1:19" x14ac:dyDescent="0.3">
      <c r="B4" t="s">
        <v>552</v>
      </c>
      <c r="D4">
        <v>1120</v>
      </c>
      <c r="G4" t="s">
        <v>26</v>
      </c>
      <c r="I4">
        <f>D5</f>
        <v>350</v>
      </c>
      <c r="K4" s="6"/>
      <c r="L4" s="6"/>
      <c r="M4" s="6"/>
      <c r="N4" s="6"/>
      <c r="O4" s="6"/>
      <c r="P4" s="6"/>
      <c r="Q4" s="6"/>
      <c r="R4" s="6"/>
      <c r="S4" s="6"/>
    </row>
    <row r="5" spans="1:19" x14ac:dyDescent="0.3">
      <c r="B5" t="s">
        <v>24</v>
      </c>
      <c r="D5">
        <v>350</v>
      </c>
      <c r="G5" t="s">
        <v>561</v>
      </c>
      <c r="I5">
        <f>D15</f>
        <v>15</v>
      </c>
      <c r="K5" s="6"/>
      <c r="L5" s="6"/>
      <c r="M5" s="6"/>
      <c r="N5" s="6"/>
      <c r="O5" s="6"/>
      <c r="P5" s="6"/>
      <c r="Q5" s="6"/>
      <c r="R5" s="6"/>
      <c r="S5" s="6"/>
    </row>
    <row r="6" spans="1:19" x14ac:dyDescent="0.3">
      <c r="B6" t="s">
        <v>452</v>
      </c>
      <c r="D6">
        <v>60</v>
      </c>
      <c r="G6" t="s">
        <v>455</v>
      </c>
      <c r="I6">
        <f>D6</f>
        <v>60</v>
      </c>
      <c r="K6" s="6"/>
      <c r="L6" s="6"/>
      <c r="M6" s="6"/>
      <c r="N6" s="6"/>
      <c r="O6" s="6"/>
      <c r="P6" s="6"/>
      <c r="Q6" s="6"/>
      <c r="R6" s="6"/>
      <c r="S6" s="6"/>
    </row>
    <row r="7" spans="1:19" x14ac:dyDescent="0.3">
      <c r="B7" s="17" t="s">
        <v>73</v>
      </c>
      <c r="C7" s="17"/>
      <c r="D7" s="17">
        <f>D3-D4-D5-D6</f>
        <v>420</v>
      </c>
      <c r="G7" t="s">
        <v>558</v>
      </c>
      <c r="I7">
        <f>-D8</f>
        <v>-43</v>
      </c>
      <c r="K7" s="6"/>
      <c r="L7" s="6"/>
      <c r="M7" s="6"/>
      <c r="N7" s="6"/>
      <c r="O7" s="6"/>
      <c r="P7" s="6"/>
      <c r="Q7" s="6"/>
      <c r="R7" s="6"/>
      <c r="S7" s="6"/>
    </row>
    <row r="8" spans="1:19" x14ac:dyDescent="0.3">
      <c r="B8" t="s">
        <v>553</v>
      </c>
      <c r="D8" s="15">
        <v>43</v>
      </c>
      <c r="G8" t="s">
        <v>559</v>
      </c>
      <c r="I8">
        <v>-32</v>
      </c>
      <c r="K8" s="6"/>
      <c r="L8" s="6"/>
      <c r="M8" s="6"/>
      <c r="N8" s="6"/>
      <c r="O8" s="6"/>
      <c r="P8" s="6"/>
      <c r="Q8" s="6"/>
      <c r="R8" s="6"/>
      <c r="S8" s="62"/>
    </row>
    <row r="9" spans="1:19" x14ac:dyDescent="0.3">
      <c r="B9" t="s">
        <v>554</v>
      </c>
      <c r="D9" s="15">
        <v>102</v>
      </c>
      <c r="G9" t="s">
        <v>560</v>
      </c>
      <c r="I9">
        <f>-D10</f>
        <v>18</v>
      </c>
      <c r="K9" s="6"/>
      <c r="L9" s="6"/>
      <c r="M9" s="6"/>
      <c r="N9" s="6"/>
      <c r="O9" s="6"/>
      <c r="P9" s="6"/>
      <c r="Q9" s="6"/>
      <c r="R9" s="6"/>
      <c r="S9" s="6"/>
    </row>
    <row r="10" spans="1:19" ht="15" thickBot="1" x14ac:dyDescent="0.35">
      <c r="B10" t="s">
        <v>572</v>
      </c>
      <c r="D10" s="15">
        <v>-18</v>
      </c>
      <c r="H10" s="8" t="s">
        <v>562</v>
      </c>
      <c r="I10" s="20">
        <f>SUM(I3:I9)</f>
        <v>720.1</v>
      </c>
      <c r="K10" s="6"/>
      <c r="L10" s="6"/>
      <c r="M10" s="6"/>
      <c r="N10" s="6"/>
      <c r="O10" s="6"/>
      <c r="P10" s="6"/>
      <c r="Q10" s="6"/>
      <c r="R10" s="6"/>
      <c r="S10" s="6"/>
    </row>
    <row r="11" spans="1:19" ht="15" thickTop="1" x14ac:dyDescent="0.3">
      <c r="B11" t="s">
        <v>453</v>
      </c>
      <c r="D11">
        <v>-56</v>
      </c>
      <c r="K11" s="6"/>
      <c r="L11" s="6"/>
      <c r="M11" s="6"/>
      <c r="N11" s="62"/>
      <c r="O11" s="6"/>
      <c r="P11" s="6"/>
      <c r="Q11" s="6"/>
      <c r="R11" s="6"/>
      <c r="S11" s="6"/>
    </row>
    <row r="12" spans="1:19" x14ac:dyDescent="0.3">
      <c r="B12" t="s">
        <v>454</v>
      </c>
      <c r="D12">
        <v>12</v>
      </c>
      <c r="K12" s="6"/>
      <c r="L12" s="6"/>
      <c r="M12" s="6"/>
      <c r="N12" s="62"/>
      <c r="O12" s="6"/>
      <c r="P12" s="6"/>
      <c r="Q12" s="6"/>
      <c r="R12" s="6"/>
      <c r="S12" s="6"/>
    </row>
    <row r="13" spans="1:19" x14ac:dyDescent="0.3">
      <c r="B13" s="17" t="s">
        <v>392</v>
      </c>
      <c r="C13" s="17"/>
      <c r="D13" s="17">
        <f>D7+D8+D9+D10+D11+D12</f>
        <v>503</v>
      </c>
      <c r="K13" s="6"/>
      <c r="L13" s="6"/>
      <c r="M13" s="6"/>
      <c r="N13" s="6"/>
      <c r="O13" s="6"/>
      <c r="P13" s="6"/>
      <c r="Q13" s="6"/>
      <c r="R13" s="6"/>
      <c r="S13" s="6"/>
    </row>
    <row r="14" spans="1:19" x14ac:dyDescent="0.3">
      <c r="B14" t="s">
        <v>556</v>
      </c>
      <c r="D14" s="19">
        <f>D13*0.3-15</f>
        <v>135.9</v>
      </c>
      <c r="K14" s="6"/>
      <c r="L14" s="6"/>
      <c r="M14" s="6"/>
      <c r="N14" s="6"/>
      <c r="O14" s="6"/>
      <c r="P14" s="6"/>
      <c r="Q14" s="6"/>
      <c r="R14" s="6"/>
      <c r="S14" s="6"/>
    </row>
    <row r="15" spans="1:19" x14ac:dyDescent="0.3">
      <c r="B15" t="s">
        <v>557</v>
      </c>
      <c r="D15" s="15">
        <v>15</v>
      </c>
      <c r="K15" s="6"/>
      <c r="L15" s="6"/>
      <c r="M15" s="6"/>
      <c r="N15" s="6"/>
      <c r="O15" s="6"/>
      <c r="P15" s="6"/>
      <c r="Q15" s="6"/>
      <c r="R15" s="6"/>
      <c r="S15" s="6"/>
    </row>
    <row r="16" spans="1:19" ht="15" thickBot="1" x14ac:dyDescent="0.35">
      <c r="B16" s="8" t="s">
        <v>302</v>
      </c>
      <c r="C16" s="8"/>
      <c r="D16" s="20">
        <f>D13-D14-D15</f>
        <v>352.1</v>
      </c>
    </row>
    <row r="17" ht="15" thickTop="1" x14ac:dyDescent="0.3"/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7"/>
  <sheetViews>
    <sheetView workbookViewId="0">
      <selection activeCell="H12" sqref="H12"/>
    </sheetView>
  </sheetViews>
  <sheetFormatPr defaultRowHeight="14.4" x14ac:dyDescent="0.3"/>
  <cols>
    <col min="3" max="3" width="21.88671875" customWidth="1"/>
    <col min="6" max="6" width="24.88671875" customWidth="1"/>
  </cols>
  <sheetData>
    <row r="1" spans="3:7" x14ac:dyDescent="0.3">
      <c r="F1" t="s">
        <v>534</v>
      </c>
      <c r="G1" s="5">
        <v>6300</v>
      </c>
    </row>
    <row r="2" spans="3:7" x14ac:dyDescent="0.3">
      <c r="F2" t="s">
        <v>541</v>
      </c>
      <c r="G2" s="5">
        <f>G1</f>
        <v>6300</v>
      </c>
    </row>
    <row r="4" spans="3:7" x14ac:dyDescent="0.3">
      <c r="C4" t="s">
        <v>533</v>
      </c>
      <c r="F4" t="s">
        <v>535</v>
      </c>
    </row>
    <row r="6" spans="3:7" x14ac:dyDescent="0.3">
      <c r="C6" s="90" t="s">
        <v>47</v>
      </c>
      <c r="F6" s="90" t="s">
        <v>47</v>
      </c>
    </row>
    <row r="7" spans="3:7" x14ac:dyDescent="0.3">
      <c r="C7" t="s">
        <v>475</v>
      </c>
      <c r="D7" s="5">
        <v>200</v>
      </c>
      <c r="F7" t="s">
        <v>475</v>
      </c>
      <c r="G7">
        <v>190</v>
      </c>
    </row>
    <row r="8" spans="3:7" x14ac:dyDescent="0.3">
      <c r="C8" t="s">
        <v>51</v>
      </c>
      <c r="D8" s="5">
        <v>300</v>
      </c>
      <c r="F8" t="s">
        <v>536</v>
      </c>
      <c r="G8">
        <v>320</v>
      </c>
    </row>
    <row r="9" spans="3:7" x14ac:dyDescent="0.3">
      <c r="C9" t="s">
        <v>542</v>
      </c>
      <c r="D9">
        <v>320</v>
      </c>
      <c r="F9" t="s">
        <v>537</v>
      </c>
      <c r="G9">
        <v>2800</v>
      </c>
    </row>
    <row r="10" spans="3:7" x14ac:dyDescent="0.3">
      <c r="C10" t="s">
        <v>91</v>
      </c>
      <c r="D10" s="5">
        <v>2000</v>
      </c>
      <c r="F10" t="s">
        <v>538</v>
      </c>
      <c r="G10">
        <v>350</v>
      </c>
    </row>
    <row r="11" spans="3:7" ht="15" thickBot="1" x14ac:dyDescent="0.35">
      <c r="C11" s="8" t="s">
        <v>323</v>
      </c>
      <c r="D11" s="9">
        <f>SUM(D7:D10)</f>
        <v>2820</v>
      </c>
      <c r="F11" t="s">
        <v>464</v>
      </c>
      <c r="G11">
        <v>450</v>
      </c>
    </row>
    <row r="12" spans="3:7" ht="15" thickTop="1" x14ac:dyDescent="0.3">
      <c r="F12" t="s">
        <v>540</v>
      </c>
      <c r="G12">
        <v>620</v>
      </c>
    </row>
    <row r="13" spans="3:7" ht="15" thickBot="1" x14ac:dyDescent="0.35">
      <c r="C13" s="8" t="s">
        <v>6</v>
      </c>
      <c r="D13" s="96">
        <v>2500</v>
      </c>
      <c r="F13" t="s">
        <v>480</v>
      </c>
      <c r="G13" s="5"/>
    </row>
    <row r="14" spans="3:7" ht="15.6" thickTop="1" thickBot="1" x14ac:dyDescent="0.35">
      <c r="F14" s="8" t="s">
        <v>323</v>
      </c>
      <c r="G14" s="9"/>
    </row>
    <row r="15" spans="3:7" ht="15" thickTop="1" x14ac:dyDescent="0.3"/>
    <row r="16" spans="3:7" ht="15" thickBot="1" x14ac:dyDescent="0.35">
      <c r="F16" s="8" t="s">
        <v>6</v>
      </c>
      <c r="G16" s="9"/>
    </row>
    <row r="17" ht="15" thickTop="1" x14ac:dyDescent="0.3"/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19"/>
  <sheetViews>
    <sheetView workbookViewId="0">
      <selection activeCell="H12" sqref="H12"/>
    </sheetView>
  </sheetViews>
  <sheetFormatPr defaultRowHeight="14.4" x14ac:dyDescent="0.3"/>
  <cols>
    <col min="3" max="3" width="1.44140625" style="90" customWidth="1"/>
    <col min="4" max="4" width="1.44140625" customWidth="1"/>
    <col min="5" max="5" width="21.77734375" customWidth="1"/>
    <col min="7" max="7" width="2" customWidth="1"/>
    <col min="8" max="8" width="1.44140625" style="90" customWidth="1"/>
    <col min="9" max="9" width="1.6640625" customWidth="1"/>
    <col min="10" max="10" width="26.77734375" customWidth="1"/>
    <col min="13" max="13" width="1.77734375" style="90" customWidth="1"/>
    <col min="14" max="14" width="28.21875" customWidth="1"/>
  </cols>
  <sheetData>
    <row r="3" spans="3:15" x14ac:dyDescent="0.3">
      <c r="C3" s="90" t="s">
        <v>472</v>
      </c>
      <c r="H3" s="90" t="s">
        <v>483</v>
      </c>
    </row>
    <row r="4" spans="3:15" x14ac:dyDescent="0.3">
      <c r="D4" t="s">
        <v>509</v>
      </c>
      <c r="F4" s="5">
        <v>150</v>
      </c>
      <c r="I4" t="s">
        <v>513</v>
      </c>
      <c r="K4" s="5">
        <v>130</v>
      </c>
      <c r="M4" s="90" t="s">
        <v>521</v>
      </c>
    </row>
    <row r="5" spans="3:15" x14ac:dyDescent="0.3">
      <c r="D5" t="s">
        <v>510</v>
      </c>
      <c r="F5" s="5">
        <v>180</v>
      </c>
      <c r="I5" t="s">
        <v>515</v>
      </c>
      <c r="K5" s="5">
        <v>40</v>
      </c>
      <c r="N5" t="s">
        <v>513</v>
      </c>
      <c r="O5" s="5">
        <f>K4</f>
        <v>130</v>
      </c>
    </row>
    <row r="6" spans="3:15" x14ac:dyDescent="0.3">
      <c r="D6" t="s">
        <v>475</v>
      </c>
      <c r="F6" s="5">
        <v>220</v>
      </c>
      <c r="I6" t="s">
        <v>486</v>
      </c>
      <c r="K6" s="5">
        <v>145</v>
      </c>
      <c r="N6" t="s">
        <v>515</v>
      </c>
      <c r="O6" s="5">
        <f>K5</f>
        <v>40</v>
      </c>
    </row>
    <row r="7" spans="3:15" x14ac:dyDescent="0.3">
      <c r="D7" t="s">
        <v>51</v>
      </c>
      <c r="F7" s="5">
        <v>160</v>
      </c>
      <c r="I7" t="s">
        <v>487</v>
      </c>
      <c r="K7" s="5">
        <v>135</v>
      </c>
      <c r="N7" t="s">
        <v>491</v>
      </c>
      <c r="O7" s="5">
        <f>K12</f>
        <v>1125</v>
      </c>
    </row>
    <row r="8" spans="3:15" x14ac:dyDescent="0.3">
      <c r="D8" t="s">
        <v>476</v>
      </c>
      <c r="F8" s="5">
        <v>55</v>
      </c>
      <c r="I8" t="s">
        <v>528</v>
      </c>
      <c r="K8" s="5">
        <v>30</v>
      </c>
      <c r="N8" t="s">
        <v>522</v>
      </c>
      <c r="O8" s="5">
        <f>-F4</f>
        <v>-150</v>
      </c>
    </row>
    <row r="9" spans="3:15" ht="15" thickBot="1" x14ac:dyDescent="0.35">
      <c r="E9" s="8" t="s">
        <v>481</v>
      </c>
      <c r="F9" s="9">
        <f>SUM(F4:F8)</f>
        <v>765</v>
      </c>
      <c r="J9" s="8" t="s">
        <v>490</v>
      </c>
      <c r="K9" s="9">
        <f>SUM(K4:K8)</f>
        <v>480</v>
      </c>
      <c r="N9" t="s">
        <v>523</v>
      </c>
      <c r="O9" s="5">
        <f>-F8</f>
        <v>-55</v>
      </c>
    </row>
    <row r="10" spans="3:15" ht="15" thickTop="1" x14ac:dyDescent="0.3">
      <c r="F10" s="5"/>
      <c r="N10" t="s">
        <v>531</v>
      </c>
      <c r="O10" s="5">
        <f>K8</f>
        <v>30</v>
      </c>
    </row>
    <row r="11" spans="3:15" x14ac:dyDescent="0.3">
      <c r="C11" s="90" t="s">
        <v>478</v>
      </c>
      <c r="F11" s="5"/>
      <c r="H11" s="90" t="s">
        <v>494</v>
      </c>
      <c r="K11" s="5"/>
      <c r="N11" t="s">
        <v>532</v>
      </c>
      <c r="O11" s="5">
        <f>K13</f>
        <v>20</v>
      </c>
    </row>
    <row r="12" spans="3:15" x14ac:dyDescent="0.3">
      <c r="D12" t="s">
        <v>479</v>
      </c>
      <c r="F12" s="5">
        <v>1200</v>
      </c>
      <c r="I12" t="s">
        <v>491</v>
      </c>
      <c r="K12" s="5">
        <v>1125</v>
      </c>
      <c r="N12" t="s">
        <v>526</v>
      </c>
      <c r="O12" s="5">
        <f>-F14</f>
        <v>-122</v>
      </c>
    </row>
    <row r="13" spans="3:15" ht="15" thickBot="1" x14ac:dyDescent="0.35">
      <c r="D13" t="s">
        <v>529</v>
      </c>
      <c r="F13" s="5">
        <v>15</v>
      </c>
      <c r="I13" t="s">
        <v>530</v>
      </c>
      <c r="K13" s="5">
        <v>20</v>
      </c>
      <c r="N13" s="8" t="s">
        <v>527</v>
      </c>
      <c r="O13" s="9">
        <f>SUM(O5:O12)</f>
        <v>1018</v>
      </c>
    </row>
    <row r="14" spans="3:15" ht="15" thickTop="1" x14ac:dyDescent="0.3">
      <c r="D14" t="s">
        <v>514</v>
      </c>
      <c r="F14" s="5">
        <v>122</v>
      </c>
      <c r="I14" t="s">
        <v>518</v>
      </c>
      <c r="K14" s="5">
        <v>140</v>
      </c>
    </row>
    <row r="15" spans="3:15" ht="15" thickBot="1" x14ac:dyDescent="0.35">
      <c r="E15" s="8" t="s">
        <v>516</v>
      </c>
      <c r="F15" s="9">
        <f>SUM(F12:F14)</f>
        <v>1337</v>
      </c>
      <c r="J15" t="s">
        <v>493</v>
      </c>
      <c r="K15" s="5">
        <f>SUM(K12:K14)</f>
        <v>1285</v>
      </c>
    </row>
    <row r="16" spans="3:15" ht="15.6" thickTop="1" thickBot="1" x14ac:dyDescent="0.35">
      <c r="F16" s="5"/>
      <c r="J16" s="8" t="s">
        <v>519</v>
      </c>
      <c r="K16" s="9">
        <f>F17-K15-K9</f>
        <v>337</v>
      </c>
    </row>
    <row r="17" spans="5:11" ht="15.6" thickTop="1" thickBot="1" x14ac:dyDescent="0.35">
      <c r="E17" s="8" t="s">
        <v>323</v>
      </c>
      <c r="F17" s="9">
        <f>F15+F9</f>
        <v>2102</v>
      </c>
      <c r="K17" s="5"/>
    </row>
    <row r="18" spans="5:11" ht="15.6" thickTop="1" thickBot="1" x14ac:dyDescent="0.35">
      <c r="J18" s="8" t="s">
        <v>520</v>
      </c>
      <c r="K18" s="9">
        <f>K16+K15+K9</f>
        <v>2102</v>
      </c>
    </row>
    <row r="19" spans="5:11" ht="15" thickTop="1" x14ac:dyDescent="0.3"/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H12" sqref="H12"/>
    </sheetView>
  </sheetViews>
  <sheetFormatPr defaultRowHeight="14.4" x14ac:dyDescent="0.3"/>
  <cols>
    <col min="1" max="1" width="1.21875" style="21" customWidth="1"/>
    <col min="2" max="2" width="29.21875" style="21" customWidth="1"/>
    <col min="3" max="3" width="8.88671875" style="21"/>
    <col min="4" max="4" width="2.5546875" style="21" customWidth="1"/>
    <col min="5" max="5" width="1.6640625" style="21" customWidth="1"/>
    <col min="6" max="6" width="31.33203125" style="21" customWidth="1"/>
    <col min="7" max="16384" width="8.88671875" style="21"/>
  </cols>
  <sheetData>
    <row r="1" spans="1:7" x14ac:dyDescent="0.3">
      <c r="A1" s="33" t="s">
        <v>7</v>
      </c>
      <c r="E1" s="33" t="s">
        <v>14</v>
      </c>
    </row>
    <row r="2" spans="1:7" x14ac:dyDescent="0.3">
      <c r="B2" s="21" t="s">
        <v>8</v>
      </c>
      <c r="C2" s="37">
        <v>4000</v>
      </c>
      <c r="F2" s="21" t="s">
        <v>302</v>
      </c>
      <c r="G2" s="34">
        <f>C14</f>
        <v>861</v>
      </c>
    </row>
    <row r="3" spans="1:7" x14ac:dyDescent="0.3">
      <c r="B3" s="21" t="s">
        <v>371</v>
      </c>
      <c r="C3" s="37">
        <v>2100</v>
      </c>
      <c r="F3" s="21" t="s">
        <v>26</v>
      </c>
      <c r="G3" s="34">
        <f>C5</f>
        <v>320</v>
      </c>
    </row>
    <row r="4" spans="1:7" x14ac:dyDescent="0.3">
      <c r="B4" s="35" t="s">
        <v>374</v>
      </c>
      <c r="C4" s="75">
        <f>C2-C3</f>
        <v>1900</v>
      </c>
      <c r="F4" s="21" t="s">
        <v>377</v>
      </c>
      <c r="G4" s="34">
        <f>C7</f>
        <v>35</v>
      </c>
    </row>
    <row r="5" spans="1:7" x14ac:dyDescent="0.3">
      <c r="B5" s="21" t="s">
        <v>87</v>
      </c>
      <c r="C5" s="37">
        <v>320</v>
      </c>
      <c r="F5" s="21" t="s">
        <v>378</v>
      </c>
      <c r="G5" s="37">
        <v>35</v>
      </c>
    </row>
    <row r="6" spans="1:7" x14ac:dyDescent="0.3">
      <c r="B6" s="21" t="s">
        <v>372</v>
      </c>
      <c r="C6" s="37">
        <v>50</v>
      </c>
      <c r="F6" s="35" t="s">
        <v>379</v>
      </c>
      <c r="G6" s="75">
        <f>SUM(G2:G5)</f>
        <v>1251</v>
      </c>
    </row>
    <row r="7" spans="1:7" x14ac:dyDescent="0.3">
      <c r="B7" s="21" t="s">
        <v>373</v>
      </c>
      <c r="C7" s="37">
        <v>35</v>
      </c>
      <c r="F7" s="21" t="s">
        <v>380</v>
      </c>
      <c r="G7" s="37">
        <v>-600</v>
      </c>
    </row>
    <row r="8" spans="1:7" x14ac:dyDescent="0.3">
      <c r="B8" s="21" t="s">
        <v>376</v>
      </c>
      <c r="C8" s="37">
        <v>75</v>
      </c>
      <c r="F8" s="21" t="s">
        <v>381</v>
      </c>
      <c r="G8" s="37">
        <v>50</v>
      </c>
    </row>
    <row r="9" spans="1:7" x14ac:dyDescent="0.3">
      <c r="B9" s="35" t="s">
        <v>73</v>
      </c>
      <c r="C9" s="75">
        <f>C4-C5-C6-C7-C8</f>
        <v>1420</v>
      </c>
      <c r="F9" s="35" t="s">
        <v>382</v>
      </c>
      <c r="G9" s="75">
        <f>SUM(G7:G8)</f>
        <v>-550</v>
      </c>
    </row>
    <row r="10" spans="1:7" x14ac:dyDescent="0.3">
      <c r="B10" s="21" t="s">
        <v>277</v>
      </c>
      <c r="C10" s="78">
        <v>230</v>
      </c>
      <c r="F10" s="21" t="s">
        <v>262</v>
      </c>
      <c r="G10" s="78">
        <v>120</v>
      </c>
    </row>
    <row r="11" spans="1:7" x14ac:dyDescent="0.3">
      <c r="B11" s="21" t="s">
        <v>375</v>
      </c>
      <c r="C11" s="78">
        <v>40</v>
      </c>
      <c r="F11" s="21" t="s">
        <v>383</v>
      </c>
      <c r="G11" s="78">
        <v>180</v>
      </c>
    </row>
    <row r="12" spans="1:7" x14ac:dyDescent="0.3">
      <c r="B12" s="35" t="s">
        <v>392</v>
      </c>
      <c r="C12" s="75">
        <f>C9-C10+C11</f>
        <v>1230</v>
      </c>
      <c r="F12" s="21" t="s">
        <v>384</v>
      </c>
      <c r="G12" s="78">
        <v>-130</v>
      </c>
    </row>
    <row r="13" spans="1:7" x14ac:dyDescent="0.3">
      <c r="B13" s="21" t="s">
        <v>393</v>
      </c>
      <c r="C13" s="79">
        <f>C12*0.3</f>
        <v>369</v>
      </c>
      <c r="F13" s="35" t="s">
        <v>385</v>
      </c>
      <c r="G13" s="77">
        <f>G9-G10+G11-G12</f>
        <v>-360</v>
      </c>
    </row>
    <row r="14" spans="1:7" ht="15" thickBot="1" x14ac:dyDescent="0.35">
      <c r="B14" s="47" t="s">
        <v>302</v>
      </c>
      <c r="C14" s="76">
        <f>C12-C13</f>
        <v>861</v>
      </c>
      <c r="F14" s="47" t="s">
        <v>17</v>
      </c>
      <c r="G14" s="76">
        <f>G6+G9+G13</f>
        <v>341</v>
      </c>
    </row>
    <row r="15" spans="1:7" ht="15" thickTop="1" x14ac:dyDescent="0.3"/>
    <row r="18" spans="1:7" x14ac:dyDescent="0.3">
      <c r="A18" s="21" t="s">
        <v>325</v>
      </c>
      <c r="E18" s="21" t="s">
        <v>389</v>
      </c>
    </row>
    <row r="19" spans="1:7" x14ac:dyDescent="0.3">
      <c r="B19" s="21" t="s">
        <v>8</v>
      </c>
      <c r="C19" s="34">
        <f>C2</f>
        <v>4000</v>
      </c>
      <c r="F19" s="21" t="s">
        <v>302</v>
      </c>
      <c r="G19" s="34">
        <f>C14</f>
        <v>861</v>
      </c>
    </row>
    <row r="20" spans="1:7" x14ac:dyDescent="0.3">
      <c r="B20" s="21" t="s">
        <v>386</v>
      </c>
      <c r="C20" s="34">
        <f>C3+C6</f>
        <v>2150</v>
      </c>
      <c r="F20" s="21" t="s">
        <v>390</v>
      </c>
      <c r="G20" s="34">
        <f>C10</f>
        <v>230</v>
      </c>
    </row>
    <row r="21" spans="1:7" x14ac:dyDescent="0.3">
      <c r="B21" s="21" t="s">
        <v>387</v>
      </c>
      <c r="C21" s="34">
        <f>C7</f>
        <v>35</v>
      </c>
      <c r="F21" s="21" t="s">
        <v>391</v>
      </c>
      <c r="G21" s="34">
        <f>C11</f>
        <v>40</v>
      </c>
    </row>
    <row r="22" spans="1:7" x14ac:dyDescent="0.3">
      <c r="B22" s="21" t="s">
        <v>388</v>
      </c>
      <c r="C22" s="34">
        <f>C8-G5</f>
        <v>40</v>
      </c>
      <c r="F22" s="21" t="s">
        <v>394</v>
      </c>
      <c r="G22" s="79">
        <f>C13</f>
        <v>369</v>
      </c>
    </row>
    <row r="23" spans="1:7" ht="15" thickBot="1" x14ac:dyDescent="0.35">
      <c r="B23" s="47" t="s">
        <v>34</v>
      </c>
      <c r="C23" s="76">
        <f>C19-C20-C21-C22</f>
        <v>1775</v>
      </c>
      <c r="F23" s="21" t="s">
        <v>89</v>
      </c>
      <c r="G23" s="34">
        <f>C5</f>
        <v>320</v>
      </c>
    </row>
    <row r="24" spans="1:7" ht="15" thickTop="1" x14ac:dyDescent="0.3">
      <c r="F24" s="21" t="s">
        <v>395</v>
      </c>
      <c r="G24" s="34">
        <f>G5</f>
        <v>35</v>
      </c>
    </row>
    <row r="25" spans="1:7" ht="15" thickBot="1" x14ac:dyDescent="0.35">
      <c r="F25" s="47" t="s">
        <v>34</v>
      </c>
      <c r="G25" s="76">
        <f>G19+G20-G21+G22+G23+G24</f>
        <v>1775</v>
      </c>
    </row>
    <row r="26" spans="1:7" ht="15" thickTop="1" x14ac:dyDescent="0.3"/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workbookViewId="0">
      <selection activeCell="H12" sqref="H12"/>
    </sheetView>
  </sheetViews>
  <sheetFormatPr defaultRowHeight="14.4" x14ac:dyDescent="0.3"/>
  <cols>
    <col min="1" max="1" width="1.77734375" style="21" customWidth="1"/>
    <col min="2" max="2" width="27.44140625" style="21" customWidth="1"/>
    <col min="3" max="3" width="12.88671875" style="21" customWidth="1"/>
    <col min="4" max="7" width="8.88671875" style="21"/>
    <col min="8" max="8" width="1.5546875" style="21" customWidth="1"/>
    <col min="9" max="9" width="20.88671875" style="21" customWidth="1"/>
    <col min="10" max="10" width="11.21875" style="21" customWidth="1"/>
    <col min="11" max="13" width="11" style="21" customWidth="1"/>
    <col min="14" max="14" width="1.77734375" style="21" customWidth="1"/>
    <col min="15" max="15" width="21.6640625" style="21" customWidth="1"/>
    <col min="16" max="19" width="12" style="21" customWidth="1"/>
    <col min="20" max="16384" width="8.88671875" style="21"/>
  </cols>
  <sheetData>
    <row r="1" spans="1:20" x14ac:dyDescent="0.3">
      <c r="C1" s="80" t="s">
        <v>399</v>
      </c>
    </row>
    <row r="2" spans="1:20" x14ac:dyDescent="0.3">
      <c r="A2" s="21" t="s">
        <v>398</v>
      </c>
      <c r="C2" s="24">
        <v>400</v>
      </c>
    </row>
    <row r="3" spans="1:20" x14ac:dyDescent="0.3">
      <c r="J3" s="80" t="s">
        <v>407</v>
      </c>
      <c r="K3" s="80" t="s">
        <v>408</v>
      </c>
      <c r="L3" s="80" t="s">
        <v>409</v>
      </c>
      <c r="P3" s="21" t="s">
        <v>418</v>
      </c>
      <c r="Q3" s="21" t="s">
        <v>415</v>
      </c>
      <c r="R3" s="21" t="s">
        <v>416</v>
      </c>
      <c r="S3" s="21" t="s">
        <v>417</v>
      </c>
    </row>
    <row r="4" spans="1:20" x14ac:dyDescent="0.3">
      <c r="D4" s="80" t="s">
        <v>22</v>
      </c>
      <c r="E4" s="80" t="s">
        <v>23</v>
      </c>
      <c r="F4" s="80" t="s">
        <v>401</v>
      </c>
      <c r="H4" s="81" t="s">
        <v>7</v>
      </c>
      <c r="N4" s="21" t="s">
        <v>410</v>
      </c>
    </row>
    <row r="5" spans="1:20" x14ac:dyDescent="0.3">
      <c r="A5" s="21" t="s">
        <v>400</v>
      </c>
      <c r="D5" s="24">
        <v>200</v>
      </c>
      <c r="E5" s="24">
        <v>240</v>
      </c>
      <c r="F5" s="24">
        <v>240</v>
      </c>
      <c r="I5" s="21" t="s">
        <v>8</v>
      </c>
      <c r="J5" s="21">
        <f>D5</f>
        <v>200</v>
      </c>
      <c r="K5" s="21">
        <f t="shared" ref="K5:L6" si="0">E5</f>
        <v>240</v>
      </c>
      <c r="L5" s="21">
        <f t="shared" si="0"/>
        <v>240</v>
      </c>
      <c r="M5" s="21" t="str">
        <f ca="1">_xlfn.FORMULATEXT(L5)</f>
        <v>=F5</v>
      </c>
      <c r="O5" s="21" t="s">
        <v>77</v>
      </c>
      <c r="Q5" s="21">
        <f>P7</f>
        <v>400</v>
      </c>
      <c r="R5" s="21">
        <f t="shared" ref="R5:S5" si="1">Q7</f>
        <v>-10</v>
      </c>
      <c r="S5" s="21">
        <f t="shared" si="1"/>
        <v>45</v>
      </c>
      <c r="T5" s="21" t="str">
        <f ca="1">_xlfn.FORMULATEXT(S5)</f>
        <v>=R7</v>
      </c>
    </row>
    <row r="6" spans="1:20" x14ac:dyDescent="0.3">
      <c r="A6" s="21" t="s">
        <v>402</v>
      </c>
      <c r="D6" s="24">
        <v>80</v>
      </c>
      <c r="E6" s="24">
        <v>100</v>
      </c>
      <c r="F6" s="24">
        <v>100</v>
      </c>
      <c r="I6" s="21" t="s">
        <v>405</v>
      </c>
      <c r="J6" s="21">
        <f>D6</f>
        <v>80</v>
      </c>
      <c r="K6" s="21">
        <f t="shared" si="0"/>
        <v>100</v>
      </c>
      <c r="L6" s="21">
        <f t="shared" si="0"/>
        <v>100</v>
      </c>
      <c r="M6" s="21" t="str">
        <f ca="1">_xlfn.FORMULATEXT(L6)</f>
        <v>=F6</v>
      </c>
      <c r="O6" s="21" t="s">
        <v>419</v>
      </c>
      <c r="Q6" s="21">
        <f>J15</f>
        <v>-410</v>
      </c>
      <c r="R6" s="21">
        <f t="shared" ref="R6:S6" si="2">K15</f>
        <v>55</v>
      </c>
      <c r="S6" s="21">
        <f t="shared" si="2"/>
        <v>65</v>
      </c>
      <c r="T6" s="21" t="str">
        <f t="shared" ref="T6:T7" ca="1" si="3">_xlfn.FORMULATEXT(S6)</f>
        <v>=L15</v>
      </c>
    </row>
    <row r="7" spans="1:20" ht="15" thickBot="1" x14ac:dyDescent="0.35">
      <c r="I7" s="21" t="s">
        <v>87</v>
      </c>
      <c r="J7" s="21">
        <f>$D$12</f>
        <v>90</v>
      </c>
      <c r="K7" s="21">
        <f t="shared" ref="K7:L7" si="4">$D$12</f>
        <v>90</v>
      </c>
      <c r="L7" s="21">
        <f t="shared" si="4"/>
        <v>90</v>
      </c>
      <c r="M7" s="21" t="str">
        <f ca="1">_xlfn.FORMULATEXT(L7)</f>
        <v>=$D$12</v>
      </c>
      <c r="O7" s="47" t="s">
        <v>79</v>
      </c>
      <c r="P7" s="47">
        <f>C2</f>
        <v>400</v>
      </c>
      <c r="Q7" s="47">
        <f>Q5+Q6</f>
        <v>-10</v>
      </c>
      <c r="R7" s="47">
        <f t="shared" ref="R7:S7" si="5">R5+R6</f>
        <v>45</v>
      </c>
      <c r="S7" s="47">
        <f t="shared" si="5"/>
        <v>110</v>
      </c>
      <c r="T7" s="21" t="str">
        <f t="shared" ca="1" si="3"/>
        <v>=S5+S6</v>
      </c>
    </row>
    <row r="8" spans="1:20" ht="15.6" thickTop="1" thickBot="1" x14ac:dyDescent="0.35">
      <c r="A8" s="21" t="s">
        <v>404</v>
      </c>
      <c r="D8" s="24">
        <v>80</v>
      </c>
      <c r="E8" s="24">
        <v>85</v>
      </c>
      <c r="F8" s="24">
        <v>75</v>
      </c>
      <c r="I8" s="47" t="s">
        <v>302</v>
      </c>
      <c r="J8" s="47">
        <f>J5-J6-J7</f>
        <v>30</v>
      </c>
      <c r="K8" s="47">
        <f t="shared" ref="K8:L8" si="6">K5-K6-K7</f>
        <v>50</v>
      </c>
      <c r="L8" s="47">
        <f t="shared" si="6"/>
        <v>50</v>
      </c>
      <c r="M8" s="21" t="str">
        <f ca="1">_xlfn.FORMULATEXT(L8)</f>
        <v>=L5-L6-L7</v>
      </c>
    </row>
    <row r="9" spans="1:20" ht="15" thickTop="1" x14ac:dyDescent="0.3">
      <c r="N9" s="21" t="s">
        <v>420</v>
      </c>
    </row>
    <row r="10" spans="1:20" x14ac:dyDescent="0.3">
      <c r="A10" s="21" t="s">
        <v>421</v>
      </c>
      <c r="D10" s="24">
        <v>450</v>
      </c>
      <c r="F10" s="24"/>
      <c r="H10" s="21" t="s">
        <v>14</v>
      </c>
      <c r="J10" s="80" t="s">
        <v>407</v>
      </c>
      <c r="K10" s="80" t="s">
        <v>408</v>
      </c>
      <c r="L10" s="80" t="s">
        <v>409</v>
      </c>
      <c r="O10" s="21" t="s">
        <v>77</v>
      </c>
      <c r="Q10" s="21">
        <f>P12</f>
        <v>0</v>
      </c>
      <c r="R10" s="21">
        <f t="shared" ref="R10:S10" si="7">Q12</f>
        <v>450</v>
      </c>
      <c r="S10" s="21">
        <f t="shared" si="7"/>
        <v>450</v>
      </c>
      <c r="T10" s="21" t="str">
        <f t="shared" ref="T10:T12" ca="1" si="8">_xlfn.FORMULATEXT(S10)</f>
        <v>=R12</v>
      </c>
    </row>
    <row r="11" spans="1:20" x14ac:dyDescent="0.3">
      <c r="A11" s="21" t="s">
        <v>406</v>
      </c>
      <c r="D11" s="24">
        <v>5</v>
      </c>
      <c r="F11" s="24"/>
      <c r="I11" s="21" t="s">
        <v>413</v>
      </c>
      <c r="J11" s="21">
        <f>J8</f>
        <v>30</v>
      </c>
      <c r="K11" s="21">
        <f t="shared" ref="K11:L11" si="9">K8</f>
        <v>50</v>
      </c>
      <c r="L11" s="21">
        <f t="shared" si="9"/>
        <v>50</v>
      </c>
      <c r="M11" s="21" t="str">
        <f ca="1">_xlfn.FORMULATEXT(L11)</f>
        <v>=L8</v>
      </c>
      <c r="O11" s="21" t="s">
        <v>84</v>
      </c>
      <c r="Q11" s="21">
        <f>J13</f>
        <v>450</v>
      </c>
      <c r="R11" s="21">
        <f t="shared" ref="R11:S11" si="10">K13</f>
        <v>0</v>
      </c>
      <c r="S11" s="21">
        <f t="shared" si="10"/>
        <v>0</v>
      </c>
      <c r="T11" s="21" t="str">
        <f t="shared" ca="1" si="8"/>
        <v>=L13</v>
      </c>
    </row>
    <row r="12" spans="1:20" ht="15" thickBot="1" x14ac:dyDescent="0.35">
      <c r="A12" s="21" t="s">
        <v>87</v>
      </c>
      <c r="C12" s="21" t="str">
        <f ca="1">_xlfn.FORMULATEXT(D12)</f>
        <v>=D10/D11</v>
      </c>
      <c r="D12" s="98">
        <f>D10/D11</f>
        <v>90</v>
      </c>
      <c r="F12" s="83"/>
      <c r="I12" s="21" t="s">
        <v>414</v>
      </c>
      <c r="J12" s="21">
        <f>J7</f>
        <v>90</v>
      </c>
      <c r="K12" s="21">
        <f t="shared" ref="K12:L12" si="11">K7</f>
        <v>90</v>
      </c>
      <c r="L12" s="21">
        <f t="shared" si="11"/>
        <v>90</v>
      </c>
      <c r="M12" s="21" t="str">
        <f ca="1">_xlfn.FORMULATEXT(L12)</f>
        <v>=L7</v>
      </c>
      <c r="O12" s="47" t="s">
        <v>79</v>
      </c>
      <c r="P12" s="82">
        <v>0</v>
      </c>
      <c r="Q12" s="47">
        <f>Q10+Q11</f>
        <v>450</v>
      </c>
      <c r="R12" s="47">
        <f t="shared" ref="R12:S12" si="12">R10+R11</f>
        <v>450</v>
      </c>
      <c r="S12" s="47">
        <f t="shared" si="12"/>
        <v>450</v>
      </c>
      <c r="T12" s="21" t="str">
        <f t="shared" ca="1" si="8"/>
        <v>=S10+S11</v>
      </c>
    </row>
    <row r="13" spans="1:20" ht="15" thickTop="1" x14ac:dyDescent="0.3">
      <c r="I13" s="21" t="s">
        <v>27</v>
      </c>
      <c r="J13" s="21">
        <f>D10</f>
        <v>450</v>
      </c>
      <c r="K13" s="21">
        <f t="shared" ref="K13:L13" si="13">E10</f>
        <v>0</v>
      </c>
      <c r="L13" s="21">
        <f t="shared" si="13"/>
        <v>0</v>
      </c>
      <c r="M13" s="21" t="str">
        <f ca="1">_xlfn.FORMULATEXT(L13)</f>
        <v>=F10</v>
      </c>
    </row>
    <row r="14" spans="1:20" x14ac:dyDescent="0.3">
      <c r="I14" s="21" t="s">
        <v>262</v>
      </c>
      <c r="J14" s="21">
        <f>D8</f>
        <v>80</v>
      </c>
      <c r="K14" s="21">
        <f t="shared" ref="K14:L14" si="14">E8</f>
        <v>85</v>
      </c>
      <c r="L14" s="21">
        <f t="shared" si="14"/>
        <v>75</v>
      </c>
      <c r="M14" s="21" t="str">
        <f ca="1">_xlfn.FORMULATEXT(L14)</f>
        <v>=F8</v>
      </c>
      <c r="N14" s="21" t="s">
        <v>88</v>
      </c>
    </row>
    <row r="15" spans="1:20" ht="15" thickBot="1" x14ac:dyDescent="0.35">
      <c r="I15" s="47" t="s">
        <v>17</v>
      </c>
      <c r="J15" s="47">
        <f>J11+J12-J13-J14</f>
        <v>-410</v>
      </c>
      <c r="K15" s="47">
        <f t="shared" ref="K15:L15" si="15">K11+K12-K13-K14</f>
        <v>55</v>
      </c>
      <c r="L15" s="47">
        <f t="shared" si="15"/>
        <v>65</v>
      </c>
      <c r="M15" s="21" t="str">
        <f ca="1">_xlfn.FORMULATEXT(L15)</f>
        <v>=L11+L12-L13-L14</v>
      </c>
      <c r="O15" s="21" t="s">
        <v>77</v>
      </c>
      <c r="Q15" s="21">
        <f>P17</f>
        <v>0</v>
      </c>
      <c r="R15" s="21">
        <f t="shared" ref="R15:S15" si="16">Q17</f>
        <v>90</v>
      </c>
      <c r="S15" s="21">
        <f t="shared" si="16"/>
        <v>180</v>
      </c>
      <c r="T15" s="21" t="str">
        <f t="shared" ref="T15:T17" ca="1" si="17">_xlfn.FORMULATEXT(S15)</f>
        <v>=R17</v>
      </c>
    </row>
    <row r="16" spans="1:20" ht="15" thickTop="1" x14ac:dyDescent="0.3">
      <c r="O16" s="21" t="s">
        <v>89</v>
      </c>
      <c r="Q16" s="21">
        <f>J12</f>
        <v>90</v>
      </c>
      <c r="R16" s="21">
        <f t="shared" ref="R16:S16" si="18">K12</f>
        <v>90</v>
      </c>
      <c r="S16" s="21">
        <f t="shared" si="18"/>
        <v>90</v>
      </c>
      <c r="T16" s="21" t="str">
        <f t="shared" ca="1" si="17"/>
        <v>=L12</v>
      </c>
    </row>
    <row r="17" spans="1:20" ht="15" thickBot="1" x14ac:dyDescent="0.35">
      <c r="H17" s="21" t="s">
        <v>4</v>
      </c>
      <c r="J17" s="21" t="s">
        <v>415</v>
      </c>
      <c r="K17" s="21" t="s">
        <v>416</v>
      </c>
      <c r="L17" s="21" t="s">
        <v>417</v>
      </c>
      <c r="O17" s="47" t="s">
        <v>79</v>
      </c>
      <c r="P17" s="82">
        <v>0</v>
      </c>
      <c r="Q17" s="47">
        <f>Q15+Q16</f>
        <v>90</v>
      </c>
      <c r="R17" s="47">
        <f t="shared" ref="R17:S17" si="19">R15+R16</f>
        <v>180</v>
      </c>
      <c r="S17" s="47">
        <f t="shared" si="19"/>
        <v>270</v>
      </c>
      <c r="T17" s="21" t="str">
        <f t="shared" ca="1" si="17"/>
        <v>=S15+S16</v>
      </c>
    </row>
    <row r="18" spans="1:20" ht="15" thickTop="1" x14ac:dyDescent="0.3">
      <c r="I18" s="21" t="s">
        <v>410</v>
      </c>
      <c r="J18" s="21">
        <f>Q7</f>
        <v>-10</v>
      </c>
      <c r="K18" s="21">
        <f t="shared" ref="K18:L18" si="20">R7</f>
        <v>45</v>
      </c>
      <c r="L18" s="21">
        <f t="shared" si="20"/>
        <v>110</v>
      </c>
      <c r="M18" s="21" t="str">
        <f ca="1">_xlfn.FORMULATEXT(L18)</f>
        <v>=S7</v>
      </c>
    </row>
    <row r="19" spans="1:20" x14ac:dyDescent="0.3">
      <c r="I19" s="21" t="s">
        <v>40</v>
      </c>
      <c r="J19" s="21">
        <f>Q12</f>
        <v>450</v>
      </c>
      <c r="K19" s="21">
        <f t="shared" ref="K19:L19" si="21">R12</f>
        <v>450</v>
      </c>
      <c r="L19" s="21">
        <f t="shared" si="21"/>
        <v>450</v>
      </c>
      <c r="M19" s="21" t="str">
        <f ca="1">_xlfn.FORMULATEXT(L19)</f>
        <v>=S12</v>
      </c>
      <c r="N19" s="81" t="s">
        <v>260</v>
      </c>
    </row>
    <row r="20" spans="1:20" x14ac:dyDescent="0.3">
      <c r="I20" s="21" t="s">
        <v>411</v>
      </c>
      <c r="J20" s="21">
        <f>Q17</f>
        <v>90</v>
      </c>
      <c r="K20" s="21">
        <f t="shared" ref="K20:L20" si="22">R17</f>
        <v>180</v>
      </c>
      <c r="L20" s="21">
        <f t="shared" si="22"/>
        <v>270</v>
      </c>
      <c r="M20" s="21" t="str">
        <f ca="1">_xlfn.FORMULATEXT(L20)</f>
        <v>=S17</v>
      </c>
      <c r="O20" s="21" t="s">
        <v>77</v>
      </c>
      <c r="Q20" s="21">
        <f>P23</f>
        <v>400</v>
      </c>
      <c r="R20" s="21">
        <f t="shared" ref="R20:S20" si="23">Q23</f>
        <v>350</v>
      </c>
      <c r="S20" s="21">
        <f t="shared" si="23"/>
        <v>315</v>
      </c>
      <c r="T20" s="21" t="str">
        <f t="shared" ref="T20:T23" ca="1" si="24">_xlfn.FORMULATEXT(S20)</f>
        <v>=R23</v>
      </c>
    </row>
    <row r="21" spans="1:20" x14ac:dyDescent="0.3">
      <c r="I21" s="21" t="s">
        <v>412</v>
      </c>
      <c r="J21" s="21">
        <f>J19-J20</f>
        <v>360</v>
      </c>
      <c r="K21" s="21">
        <f t="shared" ref="K21:L21" si="25">K19-K20</f>
        <v>270</v>
      </c>
      <c r="L21" s="21">
        <f t="shared" si="25"/>
        <v>180</v>
      </c>
      <c r="M21" s="21" t="str">
        <f ca="1">_xlfn.FORMULATEXT(L21)</f>
        <v>=L19-L20</v>
      </c>
      <c r="O21" s="21" t="s">
        <v>261</v>
      </c>
      <c r="Q21" s="21">
        <f>J8</f>
        <v>30</v>
      </c>
      <c r="R21" s="21">
        <f t="shared" ref="R21:S21" si="26">K8</f>
        <v>50</v>
      </c>
      <c r="S21" s="21">
        <f t="shared" si="26"/>
        <v>50</v>
      </c>
      <c r="T21" s="21" t="str">
        <f t="shared" ca="1" si="24"/>
        <v>=L8</v>
      </c>
    </row>
    <row r="22" spans="1:20" ht="15" thickBot="1" x14ac:dyDescent="0.35">
      <c r="I22" s="47" t="s">
        <v>323</v>
      </c>
      <c r="J22" s="47">
        <f>J21+J18</f>
        <v>350</v>
      </c>
      <c r="K22" s="47">
        <f t="shared" ref="K22:L22" si="27">K21+K18</f>
        <v>315</v>
      </c>
      <c r="L22" s="47">
        <f t="shared" si="27"/>
        <v>290</v>
      </c>
      <c r="M22" s="21" t="str">
        <f ca="1">_xlfn.FORMULATEXT(L22)</f>
        <v>=L21+L18</v>
      </c>
      <c r="O22" s="21" t="s">
        <v>262</v>
      </c>
      <c r="Q22" s="21">
        <f>J14</f>
        <v>80</v>
      </c>
      <c r="R22" s="21">
        <f t="shared" ref="R22:S22" si="28">K14</f>
        <v>85</v>
      </c>
      <c r="S22" s="21">
        <f t="shared" si="28"/>
        <v>75</v>
      </c>
      <c r="T22" s="21" t="str">
        <f t="shared" ca="1" si="24"/>
        <v>=L14</v>
      </c>
    </row>
    <row r="23" spans="1:20" ht="15.6" thickTop="1" thickBot="1" x14ac:dyDescent="0.35">
      <c r="O23" s="47" t="s">
        <v>79</v>
      </c>
      <c r="P23" s="47">
        <f>C2</f>
        <v>400</v>
      </c>
      <c r="Q23" s="47">
        <f>Q20+Q21-Q22</f>
        <v>350</v>
      </c>
      <c r="R23" s="47">
        <f t="shared" ref="R23:S23" si="29">R20+R21-R22</f>
        <v>315</v>
      </c>
      <c r="S23" s="47">
        <f t="shared" si="29"/>
        <v>290</v>
      </c>
      <c r="T23" s="21" t="str">
        <f t="shared" ca="1" si="24"/>
        <v>=S20+S21-S22</v>
      </c>
    </row>
    <row r="24" spans="1:20" ht="15.6" thickTop="1" thickBot="1" x14ac:dyDescent="0.35">
      <c r="I24" s="47" t="s">
        <v>260</v>
      </c>
      <c r="J24" s="47">
        <f>Q23</f>
        <v>350</v>
      </c>
      <c r="K24" s="47">
        <f t="shared" ref="K24:L24" si="30">R23</f>
        <v>315</v>
      </c>
      <c r="L24" s="47">
        <f t="shared" si="30"/>
        <v>290</v>
      </c>
      <c r="M24" s="21" t="str">
        <f ca="1">_xlfn.FORMULATEXT(L24)</f>
        <v>=S23</v>
      </c>
    </row>
    <row r="25" spans="1:20" ht="15" thickTop="1" x14ac:dyDescent="0.3"/>
    <row r="28" spans="1:20" x14ac:dyDescent="0.3">
      <c r="C28" s="80" t="s">
        <v>399</v>
      </c>
    </row>
    <row r="29" spans="1:20" x14ac:dyDescent="0.3">
      <c r="A29" s="21" t="s">
        <v>398</v>
      </c>
      <c r="C29" s="24">
        <v>400</v>
      </c>
    </row>
    <row r="30" spans="1:20" x14ac:dyDescent="0.3">
      <c r="J30" s="80" t="s">
        <v>407</v>
      </c>
      <c r="K30" s="80" t="s">
        <v>408</v>
      </c>
      <c r="L30" s="80" t="s">
        <v>409</v>
      </c>
      <c r="P30" s="21" t="s">
        <v>418</v>
      </c>
      <c r="Q30" s="21" t="s">
        <v>415</v>
      </c>
      <c r="R30" s="21" t="s">
        <v>416</v>
      </c>
      <c r="S30" s="21" t="s">
        <v>417</v>
      </c>
    </row>
    <row r="31" spans="1:20" x14ac:dyDescent="0.3">
      <c r="D31" s="80" t="s">
        <v>22</v>
      </c>
      <c r="E31" s="80" t="s">
        <v>23</v>
      </c>
      <c r="F31" s="80" t="s">
        <v>401</v>
      </c>
      <c r="H31" s="81" t="s">
        <v>7</v>
      </c>
      <c r="N31" s="21" t="s">
        <v>410</v>
      </c>
    </row>
    <row r="32" spans="1:20" x14ac:dyDescent="0.3">
      <c r="A32" s="21" t="s">
        <v>400</v>
      </c>
      <c r="D32" s="24">
        <v>200</v>
      </c>
      <c r="E32" s="24">
        <v>220</v>
      </c>
      <c r="F32" s="24">
        <v>240</v>
      </c>
      <c r="I32" s="21" t="s">
        <v>8</v>
      </c>
      <c r="J32" s="21">
        <f t="shared" ref="J32:L33" si="31">D32</f>
        <v>200</v>
      </c>
      <c r="K32" s="21">
        <f t="shared" si="31"/>
        <v>220</v>
      </c>
      <c r="L32" s="21">
        <f t="shared" si="31"/>
        <v>240</v>
      </c>
      <c r="O32" s="21" t="s">
        <v>77</v>
      </c>
      <c r="Q32" s="21">
        <f>P34</f>
        <v>400</v>
      </c>
      <c r="R32" s="21">
        <f>Q34</f>
        <v>40</v>
      </c>
      <c r="S32" s="21">
        <f>R34</f>
        <v>80</v>
      </c>
    </row>
    <row r="33" spans="1:19" x14ac:dyDescent="0.3">
      <c r="A33" s="21" t="s">
        <v>402</v>
      </c>
      <c r="D33" s="24">
        <v>80</v>
      </c>
      <c r="E33" s="24">
        <v>90</v>
      </c>
      <c r="F33" s="24">
        <v>100</v>
      </c>
      <c r="I33" s="21" t="s">
        <v>405</v>
      </c>
      <c r="J33" s="21">
        <f t="shared" si="31"/>
        <v>80</v>
      </c>
      <c r="K33" s="21">
        <f t="shared" si="31"/>
        <v>90</v>
      </c>
      <c r="L33" s="21">
        <f t="shared" si="31"/>
        <v>100</v>
      </c>
      <c r="O33" s="21" t="s">
        <v>419</v>
      </c>
      <c r="Q33" s="21">
        <f>J42</f>
        <v>-360</v>
      </c>
      <c r="R33" s="21">
        <f>K42</f>
        <v>40</v>
      </c>
      <c r="S33" s="21">
        <f>L42</f>
        <v>40</v>
      </c>
    </row>
    <row r="34" spans="1:19" ht="15" thickBot="1" x14ac:dyDescent="0.35">
      <c r="I34" s="21" t="s">
        <v>87</v>
      </c>
      <c r="J34" s="21">
        <f>$D$39</f>
        <v>80</v>
      </c>
      <c r="K34" s="21">
        <f>$D$39</f>
        <v>80</v>
      </c>
      <c r="L34" s="21">
        <f>$D$39</f>
        <v>80</v>
      </c>
      <c r="O34" s="47" t="s">
        <v>79</v>
      </c>
      <c r="P34" s="47">
        <f>C29</f>
        <v>400</v>
      </c>
      <c r="Q34" s="47">
        <f>Q32+Q33</f>
        <v>40</v>
      </c>
      <c r="R34" s="47">
        <f>R32+R33</f>
        <v>80</v>
      </c>
      <c r="S34" s="47">
        <f>S32+S33</f>
        <v>120</v>
      </c>
    </row>
    <row r="35" spans="1:19" ht="15.6" thickTop="1" thickBot="1" x14ac:dyDescent="0.35">
      <c r="A35" s="21" t="s">
        <v>404</v>
      </c>
      <c r="D35" s="24">
        <v>80</v>
      </c>
      <c r="E35" s="24">
        <v>90</v>
      </c>
      <c r="F35" s="24">
        <v>100</v>
      </c>
      <c r="I35" s="47" t="s">
        <v>302</v>
      </c>
      <c r="J35" s="47">
        <f>J32-J33-J34</f>
        <v>40</v>
      </c>
      <c r="K35" s="47">
        <f>K32-K33-K34</f>
        <v>50</v>
      </c>
      <c r="L35" s="47">
        <f>L32-L33-L34</f>
        <v>60</v>
      </c>
    </row>
    <row r="36" spans="1:19" ht="15" thickTop="1" x14ac:dyDescent="0.3">
      <c r="N36" s="21" t="s">
        <v>420</v>
      </c>
    </row>
    <row r="37" spans="1:19" x14ac:dyDescent="0.3">
      <c r="A37" s="21" t="s">
        <v>403</v>
      </c>
      <c r="D37" s="24">
        <v>400</v>
      </c>
      <c r="H37" s="21" t="s">
        <v>14</v>
      </c>
      <c r="J37" s="80" t="s">
        <v>407</v>
      </c>
      <c r="K37" s="80" t="s">
        <v>408</v>
      </c>
      <c r="L37" s="80" t="s">
        <v>409</v>
      </c>
      <c r="O37" s="21" t="s">
        <v>77</v>
      </c>
      <c r="Q37" s="21">
        <f>P39</f>
        <v>0</v>
      </c>
      <c r="R37" s="21">
        <f>Q39</f>
        <v>400</v>
      </c>
      <c r="S37" s="21">
        <f>R39</f>
        <v>400</v>
      </c>
    </row>
    <row r="38" spans="1:19" x14ac:dyDescent="0.3">
      <c r="A38" s="21" t="s">
        <v>406</v>
      </c>
      <c r="D38" s="24">
        <v>5</v>
      </c>
      <c r="I38" s="21" t="s">
        <v>413</v>
      </c>
      <c r="J38" s="21">
        <f>J35</f>
        <v>40</v>
      </c>
      <c r="K38" s="21">
        <f>K35</f>
        <v>50</v>
      </c>
      <c r="L38" s="21">
        <f>L35</f>
        <v>60</v>
      </c>
      <c r="O38" s="21" t="s">
        <v>84</v>
      </c>
      <c r="Q38" s="21">
        <f>J40</f>
        <v>400</v>
      </c>
      <c r="R38" s="21">
        <f>K40</f>
        <v>0</v>
      </c>
      <c r="S38" s="21">
        <f>L40</f>
        <v>0</v>
      </c>
    </row>
    <row r="39" spans="1:19" ht="15" thickBot="1" x14ac:dyDescent="0.35">
      <c r="A39" s="21" t="s">
        <v>87</v>
      </c>
      <c r="D39" s="21">
        <f>D37/D38</f>
        <v>80</v>
      </c>
      <c r="I39" s="21" t="s">
        <v>414</v>
      </c>
      <c r="J39" s="21">
        <f>J34</f>
        <v>80</v>
      </c>
      <c r="K39" s="21">
        <f>K34</f>
        <v>80</v>
      </c>
      <c r="L39" s="21">
        <f>L34</f>
        <v>80</v>
      </c>
      <c r="O39" s="47" t="s">
        <v>79</v>
      </c>
      <c r="P39" s="82">
        <v>0</v>
      </c>
      <c r="Q39" s="47">
        <f>Q37+Q38</f>
        <v>400</v>
      </c>
      <c r="R39" s="47">
        <f>R37+R38</f>
        <v>400</v>
      </c>
      <c r="S39" s="47">
        <f>S37+S38</f>
        <v>400</v>
      </c>
    </row>
    <row r="40" spans="1:19" ht="15" thickTop="1" x14ac:dyDescent="0.3">
      <c r="I40" s="21" t="s">
        <v>27</v>
      </c>
      <c r="J40" s="21">
        <f>D37</f>
        <v>400</v>
      </c>
    </row>
    <row r="41" spans="1:19" x14ac:dyDescent="0.3">
      <c r="I41" s="21" t="s">
        <v>262</v>
      </c>
      <c r="J41" s="21">
        <f>D35</f>
        <v>80</v>
      </c>
      <c r="K41" s="21">
        <f>E35</f>
        <v>90</v>
      </c>
      <c r="L41" s="21">
        <f>F35</f>
        <v>100</v>
      </c>
      <c r="N41" s="21" t="s">
        <v>88</v>
      </c>
    </row>
    <row r="42" spans="1:19" ht="15" thickBot="1" x14ac:dyDescent="0.35">
      <c r="I42" s="47" t="s">
        <v>17</v>
      </c>
      <c r="J42" s="47">
        <f>J38+J39-J40-J41</f>
        <v>-360</v>
      </c>
      <c r="K42" s="47">
        <f>K38+K39-K40-K41</f>
        <v>40</v>
      </c>
      <c r="L42" s="47">
        <f>L38+L39-L40-L41</f>
        <v>40</v>
      </c>
      <c r="O42" s="21" t="s">
        <v>77</v>
      </c>
      <c r="Q42" s="21">
        <f>P44</f>
        <v>0</v>
      </c>
      <c r="R42" s="21">
        <f>Q44</f>
        <v>80</v>
      </c>
      <c r="S42" s="21">
        <f>R44</f>
        <v>160</v>
      </c>
    </row>
    <row r="43" spans="1:19" ht="15" thickTop="1" x14ac:dyDescent="0.3">
      <c r="O43" s="21" t="s">
        <v>89</v>
      </c>
      <c r="Q43" s="21">
        <f>J34</f>
        <v>80</v>
      </c>
      <c r="R43" s="21">
        <f>K34</f>
        <v>80</v>
      </c>
      <c r="S43" s="21">
        <f>L34</f>
        <v>80</v>
      </c>
    </row>
    <row r="44" spans="1:19" ht="15" thickBot="1" x14ac:dyDescent="0.35">
      <c r="H44" s="21" t="s">
        <v>4</v>
      </c>
      <c r="J44" s="21" t="s">
        <v>415</v>
      </c>
      <c r="K44" s="21" t="s">
        <v>416</v>
      </c>
      <c r="L44" s="21" t="s">
        <v>417</v>
      </c>
      <c r="O44" s="47" t="s">
        <v>79</v>
      </c>
      <c r="P44" s="82">
        <v>0</v>
      </c>
      <c r="Q44" s="47">
        <f>Q42+Q43</f>
        <v>80</v>
      </c>
      <c r="R44" s="47">
        <f>R42+R43</f>
        <v>160</v>
      </c>
      <c r="S44" s="47">
        <f>S42+S43</f>
        <v>240</v>
      </c>
    </row>
    <row r="45" spans="1:19" ht="15" thickTop="1" x14ac:dyDescent="0.3">
      <c r="I45" s="21" t="s">
        <v>410</v>
      </c>
      <c r="J45" s="21">
        <f>Q34</f>
        <v>40</v>
      </c>
      <c r="K45" s="21">
        <f>R34</f>
        <v>80</v>
      </c>
      <c r="L45" s="21">
        <f>S34</f>
        <v>120</v>
      </c>
    </row>
    <row r="46" spans="1:19" x14ac:dyDescent="0.3">
      <c r="I46" s="21" t="s">
        <v>40</v>
      </c>
      <c r="J46" s="21">
        <f>Q39</f>
        <v>400</v>
      </c>
      <c r="K46" s="21">
        <f>R39</f>
        <v>400</v>
      </c>
      <c r="L46" s="21">
        <f>S39</f>
        <v>400</v>
      </c>
      <c r="N46" s="81" t="s">
        <v>260</v>
      </c>
    </row>
    <row r="47" spans="1:19" x14ac:dyDescent="0.3">
      <c r="I47" s="21" t="s">
        <v>411</v>
      </c>
      <c r="J47" s="21">
        <f>Q44</f>
        <v>80</v>
      </c>
      <c r="K47" s="21">
        <f>R44</f>
        <v>160</v>
      </c>
      <c r="L47" s="21">
        <f>S44</f>
        <v>240</v>
      </c>
      <c r="O47" s="21" t="s">
        <v>77</v>
      </c>
      <c r="Q47" s="21">
        <f>P50</f>
        <v>400</v>
      </c>
      <c r="R47" s="21">
        <f>Q50</f>
        <v>360</v>
      </c>
      <c r="S47" s="21">
        <f>R50</f>
        <v>320</v>
      </c>
    </row>
    <row r="48" spans="1:19" x14ac:dyDescent="0.3">
      <c r="I48" s="21" t="s">
        <v>412</v>
      </c>
      <c r="J48" s="21">
        <f>J46-J47</f>
        <v>320</v>
      </c>
      <c r="K48" s="21">
        <f>K46-K47</f>
        <v>240</v>
      </c>
      <c r="L48" s="21">
        <f>L46-L47</f>
        <v>160</v>
      </c>
      <c r="O48" s="21" t="s">
        <v>261</v>
      </c>
      <c r="Q48" s="21">
        <f>J35</f>
        <v>40</v>
      </c>
      <c r="R48" s="21">
        <f>K35</f>
        <v>50</v>
      </c>
      <c r="S48" s="21">
        <f>L35</f>
        <v>60</v>
      </c>
    </row>
    <row r="49" spans="9:19" ht="15" thickBot="1" x14ac:dyDescent="0.35">
      <c r="I49" s="47" t="s">
        <v>323</v>
      </c>
      <c r="J49" s="47">
        <f>J45+J48</f>
        <v>360</v>
      </c>
      <c r="K49" s="47">
        <f>K45+K48</f>
        <v>320</v>
      </c>
      <c r="L49" s="47">
        <f>L45+L48</f>
        <v>280</v>
      </c>
      <c r="O49" s="21" t="s">
        <v>262</v>
      </c>
      <c r="Q49" s="21">
        <f>J41</f>
        <v>80</v>
      </c>
      <c r="R49" s="21">
        <f>K41</f>
        <v>90</v>
      </c>
      <c r="S49" s="21">
        <f>L41</f>
        <v>100</v>
      </c>
    </row>
    <row r="50" spans="9:19" ht="15.6" thickTop="1" thickBot="1" x14ac:dyDescent="0.35">
      <c r="O50" s="47" t="s">
        <v>79</v>
      </c>
      <c r="P50" s="47">
        <f>C29</f>
        <v>400</v>
      </c>
      <c r="Q50" s="47">
        <f>Q47+Q48-Q49</f>
        <v>360</v>
      </c>
      <c r="R50" s="47">
        <f>R47+R48-R49</f>
        <v>320</v>
      </c>
      <c r="S50" s="47">
        <f>S47+S48-S49</f>
        <v>280</v>
      </c>
    </row>
    <row r="51" spans="9:19" ht="15.6" thickTop="1" thickBot="1" x14ac:dyDescent="0.35">
      <c r="I51" s="47" t="s">
        <v>260</v>
      </c>
      <c r="J51" s="47">
        <f>Q50</f>
        <v>360</v>
      </c>
      <c r="K51" s="47">
        <f>R50</f>
        <v>320</v>
      </c>
      <c r="L51" s="47">
        <f>S50</f>
        <v>280</v>
      </c>
    </row>
    <row r="52" spans="9:19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zoomScale="80" zoomScaleNormal="80" workbookViewId="0">
      <selection activeCell="O10" sqref="O10"/>
    </sheetView>
  </sheetViews>
  <sheetFormatPr defaultRowHeight="14.4" x14ac:dyDescent="0.3"/>
  <cols>
    <col min="2" max="2" width="26.5546875" customWidth="1"/>
    <col min="4" max="4" width="9.21875" bestFit="1" customWidth="1"/>
    <col min="5" max="5" width="9.6640625" bestFit="1" customWidth="1"/>
    <col min="6" max="7" width="9.5546875" customWidth="1"/>
    <col min="8" max="8" width="16.77734375" customWidth="1"/>
    <col min="12" max="12" width="9.21875" customWidth="1"/>
  </cols>
  <sheetData>
    <row r="1" spans="2:12" x14ac:dyDescent="0.3">
      <c r="D1" s="2" t="s">
        <v>22</v>
      </c>
      <c r="E1" s="2" t="s">
        <v>23</v>
      </c>
      <c r="F1" s="2" t="s">
        <v>23</v>
      </c>
      <c r="G1" s="2"/>
      <c r="I1" s="2" t="s">
        <v>328</v>
      </c>
      <c r="J1" s="2" t="s">
        <v>329</v>
      </c>
      <c r="K1" s="2" t="s">
        <v>328</v>
      </c>
    </row>
    <row r="2" spans="2:12" x14ac:dyDescent="0.3">
      <c r="B2" t="s">
        <v>2</v>
      </c>
      <c r="D2">
        <v>300</v>
      </c>
      <c r="E2">
        <f>D9</f>
        <v>75</v>
      </c>
      <c r="F2">
        <f>E9</f>
        <v>-50</v>
      </c>
      <c r="H2" t="s">
        <v>36</v>
      </c>
      <c r="I2">
        <v>250</v>
      </c>
      <c r="J2">
        <v>4</v>
      </c>
      <c r="K2">
        <f>-D6/4</f>
        <v>62.5</v>
      </c>
    </row>
    <row r="4" spans="2:12" x14ac:dyDescent="0.3">
      <c r="B4" t="s">
        <v>0</v>
      </c>
      <c r="D4">
        <v>200</v>
      </c>
      <c r="E4">
        <v>400</v>
      </c>
      <c r="F4" s="31">
        <v>660</v>
      </c>
      <c r="H4" t="s">
        <v>83</v>
      </c>
    </row>
    <row r="5" spans="2:12" x14ac:dyDescent="0.3">
      <c r="B5" t="s">
        <v>1</v>
      </c>
      <c r="D5">
        <v>-100</v>
      </c>
      <c r="E5">
        <v>-200</v>
      </c>
      <c r="F5" s="31">
        <v>-300</v>
      </c>
      <c r="H5" t="s">
        <v>320</v>
      </c>
      <c r="J5" s="16">
        <f>I10</f>
        <v>0</v>
      </c>
      <c r="K5" s="16">
        <f>J8</f>
        <v>250</v>
      </c>
      <c r="L5" s="16">
        <f>K8</f>
        <v>600</v>
      </c>
    </row>
    <row r="6" spans="2:12" x14ac:dyDescent="0.3">
      <c r="B6" t="s">
        <v>18</v>
      </c>
      <c r="D6">
        <v>-250</v>
      </c>
      <c r="E6">
        <v>-250</v>
      </c>
      <c r="F6" s="31">
        <v>-300</v>
      </c>
      <c r="H6" t="s">
        <v>84</v>
      </c>
      <c r="J6" s="16">
        <f>-D6</f>
        <v>250</v>
      </c>
      <c r="K6" s="16">
        <f>-E6</f>
        <v>250</v>
      </c>
      <c r="L6" s="16">
        <f>-F6</f>
        <v>300</v>
      </c>
    </row>
    <row r="7" spans="2:12" x14ac:dyDescent="0.3">
      <c r="B7" t="s">
        <v>13</v>
      </c>
      <c r="D7">
        <v>-75</v>
      </c>
      <c r="E7">
        <v>-75</v>
      </c>
      <c r="F7">
        <v>-75</v>
      </c>
      <c r="H7" t="s">
        <v>330</v>
      </c>
      <c r="J7" s="16"/>
      <c r="K7" s="16">
        <v>100</v>
      </c>
      <c r="L7" s="16"/>
    </row>
    <row r="8" spans="2:12" x14ac:dyDescent="0.3">
      <c r="H8" s="17" t="s">
        <v>79</v>
      </c>
      <c r="I8" s="17"/>
      <c r="J8" s="67">
        <f>J5+J6</f>
        <v>250</v>
      </c>
      <c r="K8" s="67">
        <f>K5+K6+K7</f>
        <v>600</v>
      </c>
      <c r="L8" s="67">
        <f>L5+L6</f>
        <v>900</v>
      </c>
    </row>
    <row r="9" spans="2:12" x14ac:dyDescent="0.3">
      <c r="B9" t="s">
        <v>3</v>
      </c>
      <c r="D9">
        <f>SUM(D2:D8)</f>
        <v>75</v>
      </c>
      <c r="E9">
        <f>SUM(E2:E8)</f>
        <v>-50</v>
      </c>
      <c r="F9">
        <f>SUM(F2:F8)</f>
        <v>-65</v>
      </c>
      <c r="J9" s="16"/>
      <c r="K9" s="16"/>
      <c r="L9" s="16"/>
    </row>
    <row r="10" spans="2:12" ht="15" thickBot="1" x14ac:dyDescent="0.35">
      <c r="B10" s="1" t="s">
        <v>28</v>
      </c>
      <c r="C10" s="1"/>
      <c r="D10" s="1">
        <f>D9-D2</f>
        <v>-225</v>
      </c>
      <c r="E10" s="1">
        <f>E9-E2</f>
        <v>-125</v>
      </c>
      <c r="F10" s="1">
        <f>F9-F2</f>
        <v>-15</v>
      </c>
      <c r="G10" s="6"/>
      <c r="H10" t="s">
        <v>36</v>
      </c>
      <c r="J10" s="16"/>
      <c r="K10" s="16"/>
      <c r="L10" s="16"/>
    </row>
    <row r="11" spans="2:12" x14ac:dyDescent="0.3">
      <c r="H11" t="s">
        <v>321</v>
      </c>
      <c r="J11" s="16"/>
      <c r="K11" s="16"/>
      <c r="L11" s="16"/>
    </row>
    <row r="12" spans="2:12" x14ac:dyDescent="0.3">
      <c r="B12" t="s">
        <v>4</v>
      </c>
      <c r="C12" s="2" t="s">
        <v>29</v>
      </c>
      <c r="D12" s="2" t="s">
        <v>30</v>
      </c>
      <c r="E12" s="2" t="s">
        <v>31</v>
      </c>
      <c r="F12" s="2" t="s">
        <v>31</v>
      </c>
      <c r="G12" s="2"/>
      <c r="H12" t="s">
        <v>77</v>
      </c>
      <c r="J12" s="16">
        <f>I14</f>
        <v>0</v>
      </c>
      <c r="K12" s="16">
        <f>J14</f>
        <v>62.5</v>
      </c>
      <c r="L12" s="16">
        <f>K14</f>
        <v>187.5</v>
      </c>
    </row>
    <row r="13" spans="2:12" x14ac:dyDescent="0.3">
      <c r="B13" t="s">
        <v>5</v>
      </c>
      <c r="C13">
        <v>300</v>
      </c>
      <c r="D13" s="19">
        <f>D9</f>
        <v>75</v>
      </c>
      <c r="E13" s="19">
        <f>E9</f>
        <v>-50</v>
      </c>
      <c r="F13" s="19">
        <f>F9</f>
        <v>-65</v>
      </c>
      <c r="H13" t="s">
        <v>89</v>
      </c>
      <c r="J13" s="16">
        <f>-D23</f>
        <v>62.5</v>
      </c>
      <c r="K13" s="16">
        <f>-E23</f>
        <v>125</v>
      </c>
      <c r="L13" s="16">
        <f>-F23</f>
        <v>154.16666666666666</v>
      </c>
    </row>
    <row r="14" spans="2:12" x14ac:dyDescent="0.3">
      <c r="B14" t="s">
        <v>40</v>
      </c>
      <c r="D14" s="19">
        <f>J8</f>
        <v>250</v>
      </c>
      <c r="E14" s="19">
        <f>K8</f>
        <v>600</v>
      </c>
      <c r="F14" s="19">
        <f>L8</f>
        <v>900</v>
      </c>
      <c r="H14" s="17" t="s">
        <v>322</v>
      </c>
      <c r="I14" s="17"/>
      <c r="J14" s="67">
        <f>SUM(J12:J13)</f>
        <v>62.5</v>
      </c>
      <c r="K14" s="67">
        <f>SUM(K12:K13)</f>
        <v>187.5</v>
      </c>
      <c r="L14" s="67">
        <f>SUM(L12:L13)</f>
        <v>341.66666666666663</v>
      </c>
    </row>
    <row r="15" spans="2:12" x14ac:dyDescent="0.3">
      <c r="B15" t="s">
        <v>41</v>
      </c>
      <c r="C15">
        <v>0</v>
      </c>
      <c r="D15" s="19">
        <f>C15-D23</f>
        <v>62.5</v>
      </c>
      <c r="E15" s="19">
        <f>D15-E23</f>
        <v>187.5</v>
      </c>
      <c r="F15" s="19">
        <f>E15-F23</f>
        <v>341.66666666666663</v>
      </c>
      <c r="G15" s="5"/>
      <c r="J15" s="16"/>
      <c r="K15" s="16"/>
      <c r="L15" s="16"/>
    </row>
    <row r="16" spans="2:12" x14ac:dyDescent="0.3">
      <c r="B16" s="17" t="s">
        <v>91</v>
      </c>
      <c r="C16" s="17">
        <f>C14-C15</f>
        <v>0</v>
      </c>
      <c r="D16" s="59">
        <f>D14-D15</f>
        <v>187.5</v>
      </c>
      <c r="E16" s="59">
        <f>E14-E15</f>
        <v>412.5</v>
      </c>
      <c r="F16" s="59">
        <f>F14-F15</f>
        <v>558.33333333333337</v>
      </c>
      <c r="G16" s="6"/>
      <c r="H16" t="s">
        <v>260</v>
      </c>
      <c r="J16" s="16"/>
      <c r="K16" s="16"/>
      <c r="L16" s="16"/>
    </row>
    <row r="17" spans="2:12" x14ac:dyDescent="0.3">
      <c r="B17" s="10" t="s">
        <v>323</v>
      </c>
      <c r="C17" s="11">
        <f>SUM(C13:C15)</f>
        <v>300</v>
      </c>
      <c r="D17" s="65">
        <f>D13+D14-D15</f>
        <v>262.5</v>
      </c>
      <c r="E17" s="65">
        <f>E13+E14-E15</f>
        <v>362.5</v>
      </c>
      <c r="F17" s="65">
        <f>F13+F14-F15</f>
        <v>493.33333333333337</v>
      </c>
      <c r="G17" s="6"/>
      <c r="H17" t="s">
        <v>77</v>
      </c>
      <c r="J17" s="16">
        <f>I20</f>
        <v>300</v>
      </c>
      <c r="K17" s="16">
        <f>J20</f>
        <v>262.5</v>
      </c>
      <c r="L17" s="16">
        <f>K20</f>
        <v>362.5</v>
      </c>
    </row>
    <row r="18" spans="2:12" ht="15" thickBot="1" x14ac:dyDescent="0.35">
      <c r="B18" s="8" t="s">
        <v>324</v>
      </c>
      <c r="C18" s="8">
        <v>300</v>
      </c>
      <c r="D18" s="20">
        <f>J20</f>
        <v>262.5</v>
      </c>
      <c r="E18" s="20">
        <f>K20</f>
        <v>362.5</v>
      </c>
      <c r="F18" s="20">
        <f>L20</f>
        <v>493.33333333333337</v>
      </c>
      <c r="H18" t="s">
        <v>261</v>
      </c>
      <c r="J18" s="16">
        <f>D25</f>
        <v>37.5</v>
      </c>
      <c r="K18" s="16">
        <f>E25</f>
        <v>175</v>
      </c>
      <c r="L18" s="16">
        <f>F25</f>
        <v>205.83333333333334</v>
      </c>
    </row>
    <row r="19" spans="2:12" ht="15" thickTop="1" x14ac:dyDescent="0.3">
      <c r="D19" s="19"/>
      <c r="E19" s="19"/>
      <c r="F19" s="19"/>
      <c r="G19" s="2"/>
      <c r="H19" t="s">
        <v>262</v>
      </c>
      <c r="J19" s="16">
        <f>-D31</f>
        <v>75</v>
      </c>
      <c r="K19" s="16">
        <f>-E31</f>
        <v>75</v>
      </c>
      <c r="L19" s="16">
        <f>-F31</f>
        <v>75</v>
      </c>
    </row>
    <row r="20" spans="2:12" x14ac:dyDescent="0.3">
      <c r="B20" t="s">
        <v>7</v>
      </c>
      <c r="D20" s="66" t="s">
        <v>22</v>
      </c>
      <c r="E20" s="66" t="s">
        <v>23</v>
      </c>
      <c r="F20" s="66" t="s">
        <v>23</v>
      </c>
      <c r="H20" s="17" t="s">
        <v>79</v>
      </c>
      <c r="I20" s="17">
        <f>C18</f>
        <v>300</v>
      </c>
      <c r="J20" s="67">
        <f>J17+J18-J19</f>
        <v>262.5</v>
      </c>
      <c r="K20" s="67">
        <f>K17+K18-K19</f>
        <v>362.5</v>
      </c>
      <c r="L20" s="67">
        <f>L17+L18-L19</f>
        <v>493.33333333333337</v>
      </c>
    </row>
    <row r="21" spans="2:12" x14ac:dyDescent="0.3">
      <c r="B21" t="s">
        <v>8</v>
      </c>
      <c r="D21" s="19">
        <v>200</v>
      </c>
      <c r="E21" s="19">
        <f>E4</f>
        <v>400</v>
      </c>
      <c r="F21" s="19">
        <f>F4</f>
        <v>660</v>
      </c>
      <c r="J21" s="16"/>
      <c r="K21" s="16"/>
      <c r="L21" s="16"/>
    </row>
    <row r="22" spans="2:12" x14ac:dyDescent="0.3">
      <c r="B22" t="s">
        <v>9</v>
      </c>
      <c r="D22" s="19">
        <f>D5</f>
        <v>-100</v>
      </c>
      <c r="E22" s="19">
        <f>E5</f>
        <v>-200</v>
      </c>
      <c r="F22" s="19">
        <f>F5</f>
        <v>-300</v>
      </c>
      <c r="H22" t="s">
        <v>325</v>
      </c>
      <c r="I22" s="6"/>
      <c r="J22" s="68"/>
      <c r="K22" s="68"/>
      <c r="L22" s="16"/>
    </row>
    <row r="23" spans="2:12" x14ac:dyDescent="0.3">
      <c r="B23" t="s">
        <v>24</v>
      </c>
      <c r="D23" s="19">
        <f>-K2</f>
        <v>-62.5</v>
      </c>
      <c r="E23" s="19">
        <f>D23*2</f>
        <v>-125</v>
      </c>
      <c r="F23" s="19">
        <f>D23*3+100/3</f>
        <v>-154.16666666666666</v>
      </c>
      <c r="G23" s="6"/>
      <c r="H23" s="15" t="s">
        <v>8</v>
      </c>
      <c r="J23" s="16">
        <f t="shared" ref="J23:L24" si="0">D21</f>
        <v>200</v>
      </c>
      <c r="K23" s="16">
        <f t="shared" si="0"/>
        <v>400</v>
      </c>
      <c r="L23" s="16">
        <f t="shared" si="0"/>
        <v>660</v>
      </c>
    </row>
    <row r="24" spans="2:12" x14ac:dyDescent="0.3">
      <c r="B24" t="s">
        <v>330</v>
      </c>
      <c r="D24" s="19"/>
      <c r="E24" s="19">
        <f>K7</f>
        <v>100</v>
      </c>
      <c r="F24" s="19"/>
      <c r="H24" s="15" t="s">
        <v>326</v>
      </c>
      <c r="J24" s="16">
        <f t="shared" si="0"/>
        <v>-100</v>
      </c>
      <c r="K24" s="16">
        <f t="shared" si="0"/>
        <v>-200</v>
      </c>
      <c r="L24" s="16">
        <f t="shared" si="0"/>
        <v>-300</v>
      </c>
    </row>
    <row r="25" spans="2:12" ht="15" thickBot="1" x14ac:dyDescent="0.35">
      <c r="B25" s="8" t="s">
        <v>302</v>
      </c>
      <c r="C25" s="8"/>
      <c r="D25" s="20">
        <f>D21+D22+D23</f>
        <v>37.5</v>
      </c>
      <c r="E25" s="20">
        <f>E21+E22+E23+E24</f>
        <v>175</v>
      </c>
      <c r="F25" s="20">
        <f>F21+F22+F23</f>
        <v>205.83333333333334</v>
      </c>
      <c r="G25" s="2"/>
      <c r="H25" s="63" t="s">
        <v>34</v>
      </c>
      <c r="I25" s="8"/>
      <c r="J25" s="69">
        <f>J23+J24</f>
        <v>100</v>
      </c>
      <c r="K25" s="69">
        <f>K23+K24</f>
        <v>200</v>
      </c>
      <c r="L25" s="69">
        <f>L23+L24</f>
        <v>360</v>
      </c>
    </row>
    <row r="26" spans="2:12" ht="15" thickTop="1" x14ac:dyDescent="0.3">
      <c r="D26" s="19"/>
      <c r="E26" s="19"/>
      <c r="F26" s="19"/>
      <c r="H26" s="15" t="s">
        <v>81</v>
      </c>
      <c r="I26" s="6"/>
      <c r="J26" s="16">
        <f>D6</f>
        <v>-250</v>
      </c>
      <c r="K26" s="16">
        <f>E6</f>
        <v>-250</v>
      </c>
      <c r="L26" s="16">
        <f>F6</f>
        <v>-300</v>
      </c>
    </row>
    <row r="27" spans="2:12" x14ac:dyDescent="0.3">
      <c r="B27" t="s">
        <v>14</v>
      </c>
      <c r="D27" s="66" t="s">
        <v>22</v>
      </c>
      <c r="E27" s="66" t="s">
        <v>23</v>
      </c>
      <c r="F27" s="66" t="s">
        <v>23</v>
      </c>
      <c r="J27" s="16"/>
      <c r="K27" s="16"/>
      <c r="L27" s="16"/>
    </row>
    <row r="28" spans="2:12" x14ac:dyDescent="0.3">
      <c r="B28" t="s">
        <v>15</v>
      </c>
      <c r="D28" s="19">
        <f>D25</f>
        <v>37.5</v>
      </c>
      <c r="E28" s="19">
        <f>E25</f>
        <v>175</v>
      </c>
      <c r="F28" s="19">
        <f>F25</f>
        <v>205.83333333333334</v>
      </c>
      <c r="H28" s="6" t="s">
        <v>39</v>
      </c>
      <c r="J28" s="16"/>
      <c r="K28" s="16"/>
      <c r="L28" s="16"/>
    </row>
    <row r="29" spans="2:12" s="6" customFormat="1" x14ac:dyDescent="0.3">
      <c r="B29" t="s">
        <v>26</v>
      </c>
      <c r="C29"/>
      <c r="D29" s="19">
        <f>K2</f>
        <v>62.5</v>
      </c>
      <c r="E29" s="19">
        <f>D29</f>
        <v>62.5</v>
      </c>
      <c r="F29" s="19">
        <f>E29</f>
        <v>62.5</v>
      </c>
      <c r="H29" s="15" t="s">
        <v>302</v>
      </c>
      <c r="I29"/>
      <c r="J29" s="16">
        <f>D25</f>
        <v>37.5</v>
      </c>
      <c r="K29" s="16">
        <f>E25</f>
        <v>175</v>
      </c>
      <c r="L29" s="16">
        <f>F25</f>
        <v>205.83333333333334</v>
      </c>
    </row>
    <row r="30" spans="2:12" x14ac:dyDescent="0.3">
      <c r="B30" t="s">
        <v>27</v>
      </c>
      <c r="D30" s="19">
        <f t="shared" ref="D30:F31" si="1">D6</f>
        <v>-250</v>
      </c>
      <c r="E30" s="19">
        <f t="shared" si="1"/>
        <v>-250</v>
      </c>
      <c r="F30" s="19">
        <f t="shared" si="1"/>
        <v>-300</v>
      </c>
      <c r="G30" s="6"/>
      <c r="H30" t="s">
        <v>26</v>
      </c>
      <c r="J30" s="68">
        <f>-D23</f>
        <v>62.5</v>
      </c>
      <c r="K30" s="68">
        <f>-E23</f>
        <v>125</v>
      </c>
      <c r="L30" s="68">
        <f>-F23</f>
        <v>154.16666666666666</v>
      </c>
    </row>
    <row r="31" spans="2:12" ht="15" thickBot="1" x14ac:dyDescent="0.35">
      <c r="B31" s="6" t="s">
        <v>16</v>
      </c>
      <c r="C31" s="6"/>
      <c r="D31" s="62">
        <f t="shared" si="1"/>
        <v>-75</v>
      </c>
      <c r="E31" s="62">
        <f t="shared" si="1"/>
        <v>-75</v>
      </c>
      <c r="F31" s="62">
        <f t="shared" si="1"/>
        <v>-75</v>
      </c>
      <c r="H31" s="8" t="s">
        <v>327</v>
      </c>
      <c r="I31" s="8"/>
      <c r="J31" s="69">
        <f>J29+J30</f>
        <v>100</v>
      </c>
      <c r="K31" s="69">
        <f>K29+K30</f>
        <v>300</v>
      </c>
      <c r="L31" s="69">
        <f>L29+L30</f>
        <v>360</v>
      </c>
    </row>
    <row r="32" spans="2:12" ht="15.6" thickTop="1" thickBot="1" x14ac:dyDescent="0.35">
      <c r="B32" s="8" t="s">
        <v>17</v>
      </c>
      <c r="C32" s="8"/>
      <c r="D32" s="20">
        <f>SUM(D28:D31)</f>
        <v>-225</v>
      </c>
      <c r="E32" s="20">
        <f>SUM(E28:E31)</f>
        <v>-87.5</v>
      </c>
      <c r="F32" s="20">
        <f>SUM(F28:F31)</f>
        <v>-106.66666666666663</v>
      </c>
      <c r="H32" s="15" t="s">
        <v>81</v>
      </c>
      <c r="I32" s="6"/>
      <c r="J32" s="16">
        <f>D6</f>
        <v>-250</v>
      </c>
      <c r="K32" s="16">
        <f>E6</f>
        <v>-250</v>
      </c>
      <c r="L32" s="16">
        <f>F6</f>
        <v>-300</v>
      </c>
    </row>
    <row r="33" spans="2:6" ht="15" thickTop="1" x14ac:dyDescent="0.3">
      <c r="B33" s="6"/>
      <c r="C33" s="6"/>
      <c r="D33" s="13"/>
      <c r="E33" s="13"/>
      <c r="F33" s="13"/>
    </row>
    <row r="34" spans="2:6" x14ac:dyDescent="0.3">
      <c r="B34" t="s">
        <v>10</v>
      </c>
    </row>
    <row r="35" spans="2:6" x14ac:dyDescent="0.3">
      <c r="B35" t="s">
        <v>11</v>
      </c>
      <c r="D35">
        <f>D18</f>
        <v>262.5</v>
      </c>
    </row>
    <row r="36" spans="2:6" x14ac:dyDescent="0.3">
      <c r="B36" t="s">
        <v>12</v>
      </c>
      <c r="D36">
        <f>-C18</f>
        <v>-300</v>
      </c>
    </row>
    <row r="37" spans="2:6" ht="15" thickBot="1" x14ac:dyDescent="0.35">
      <c r="B37" s="1" t="s">
        <v>10</v>
      </c>
      <c r="C37" s="1"/>
      <c r="D37" s="1">
        <f>D35+D36</f>
        <v>-37.5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9"/>
  <sheetViews>
    <sheetView zoomScale="90" zoomScaleNormal="90" workbookViewId="0">
      <selection activeCell="H12" sqref="H12"/>
    </sheetView>
  </sheetViews>
  <sheetFormatPr defaultRowHeight="14.4" outlineLevelRow="1" x14ac:dyDescent="0.3"/>
  <cols>
    <col min="1" max="2" width="8.88671875" style="21"/>
    <col min="3" max="3" width="30" style="21" customWidth="1"/>
    <col min="4" max="4" width="10.6640625" style="21" customWidth="1"/>
    <col min="5" max="5" width="8.88671875" style="21"/>
    <col min="6" max="6" width="11.21875" style="21" customWidth="1"/>
    <col min="7" max="16384" width="8.88671875" style="21"/>
  </cols>
  <sheetData>
    <row r="1" spans="3:6" x14ac:dyDescent="0.3">
      <c r="D1" s="21" t="s">
        <v>422</v>
      </c>
      <c r="F1" s="21" t="s">
        <v>423</v>
      </c>
    </row>
    <row r="2" spans="3:6" x14ac:dyDescent="0.3">
      <c r="D2" s="21" t="s">
        <v>276</v>
      </c>
      <c r="F2" s="21" t="s">
        <v>424</v>
      </c>
    </row>
    <row r="3" spans="3:6" x14ac:dyDescent="0.3">
      <c r="F3" s="21" t="s">
        <v>276</v>
      </c>
    </row>
    <row r="5" spans="3:6" outlineLevel="1" x14ac:dyDescent="0.3">
      <c r="C5" s="21" t="s">
        <v>8</v>
      </c>
      <c r="D5" s="25">
        <v>2600</v>
      </c>
      <c r="E5" s="22"/>
      <c r="F5" s="25">
        <v>2600</v>
      </c>
    </row>
    <row r="6" spans="3:6" outlineLevel="1" x14ac:dyDescent="0.3">
      <c r="C6" s="21" t="s">
        <v>425</v>
      </c>
      <c r="D6" s="25">
        <v>870</v>
      </c>
      <c r="E6" s="22"/>
      <c r="F6" s="25">
        <v>870</v>
      </c>
    </row>
    <row r="7" spans="3:6" outlineLevel="1" x14ac:dyDescent="0.3">
      <c r="C7" s="21" t="s">
        <v>434</v>
      </c>
      <c r="D7" s="22"/>
      <c r="E7" s="22"/>
      <c r="F7" s="25">
        <v>210</v>
      </c>
    </row>
    <row r="8" spans="3:6" outlineLevel="1" x14ac:dyDescent="0.3">
      <c r="C8" s="21" t="s">
        <v>36</v>
      </c>
      <c r="D8" s="25">
        <v>600</v>
      </c>
      <c r="E8" s="22"/>
      <c r="F8" s="25">
        <v>500</v>
      </c>
    </row>
    <row r="9" spans="3:6" ht="15" outlineLevel="1" thickBot="1" x14ac:dyDescent="0.35">
      <c r="C9" s="84" t="s">
        <v>73</v>
      </c>
      <c r="D9" s="87">
        <f>D5-D6-D7-D8</f>
        <v>1130</v>
      </c>
      <c r="E9" s="87"/>
      <c r="F9" s="87">
        <f>F5-F6-F7-F8</f>
        <v>1020</v>
      </c>
    </row>
    <row r="10" spans="3:6" outlineLevel="1" x14ac:dyDescent="0.3">
      <c r="C10" s="50" t="s">
        <v>277</v>
      </c>
      <c r="D10" s="88">
        <v>400</v>
      </c>
      <c r="E10" s="22"/>
      <c r="F10" s="88">
        <v>500</v>
      </c>
    </row>
    <row r="11" spans="3:6" ht="15" outlineLevel="1" thickBot="1" x14ac:dyDescent="0.35">
      <c r="C11" s="85" t="s">
        <v>426</v>
      </c>
      <c r="D11" s="87">
        <f>D9-D10</f>
        <v>730</v>
      </c>
      <c r="E11" s="87"/>
      <c r="F11" s="87">
        <f>F9-F10</f>
        <v>520</v>
      </c>
    </row>
    <row r="12" spans="3:6" outlineLevel="1" x14ac:dyDescent="0.3">
      <c r="C12" s="50" t="s">
        <v>427</v>
      </c>
      <c r="D12" s="22">
        <f>D11*0.3</f>
        <v>219</v>
      </c>
      <c r="E12" s="22"/>
      <c r="F12" s="22">
        <f>F11*0.3</f>
        <v>156</v>
      </c>
    </row>
    <row r="13" spans="3:6" ht="15" outlineLevel="1" thickBot="1" x14ac:dyDescent="0.35">
      <c r="C13" s="86" t="s">
        <v>302</v>
      </c>
      <c r="D13" s="57">
        <f>D11-D12</f>
        <v>511</v>
      </c>
      <c r="E13" s="57"/>
      <c r="F13" s="57">
        <f>F11-F12</f>
        <v>364</v>
      </c>
    </row>
    <row r="14" spans="3:6" ht="15" outlineLevel="1" thickTop="1" x14ac:dyDescent="0.3"/>
    <row r="15" spans="3:6" outlineLevel="1" x14ac:dyDescent="0.3">
      <c r="C15" s="21" t="s">
        <v>81</v>
      </c>
      <c r="D15" s="21">
        <v>1000</v>
      </c>
      <c r="F15" s="23">
        <f>D15-F7</f>
        <v>790</v>
      </c>
    </row>
    <row r="16" spans="3:6" outlineLevel="1" x14ac:dyDescent="0.3"/>
    <row r="17" spans="3:6" x14ac:dyDescent="0.3">
      <c r="C17" s="21" t="s">
        <v>39</v>
      </c>
    </row>
    <row r="18" spans="3:6" x14ac:dyDescent="0.3">
      <c r="C18" s="21" t="s">
        <v>302</v>
      </c>
      <c r="D18" s="23">
        <f>D13</f>
        <v>511</v>
      </c>
      <c r="F18" s="23">
        <f>F13</f>
        <v>364</v>
      </c>
    </row>
    <row r="19" spans="3:6" x14ac:dyDescent="0.3">
      <c r="C19" s="21" t="s">
        <v>428</v>
      </c>
      <c r="D19" s="23">
        <f>D10</f>
        <v>400</v>
      </c>
      <c r="F19" s="23">
        <f>F10</f>
        <v>500</v>
      </c>
    </row>
    <row r="20" spans="3:6" x14ac:dyDescent="0.3">
      <c r="C20" s="21" t="s">
        <v>429</v>
      </c>
      <c r="D20" s="23">
        <f>D12</f>
        <v>219</v>
      </c>
      <c r="F20" s="23">
        <f>F12</f>
        <v>156</v>
      </c>
    </row>
    <row r="21" spans="3:6" x14ac:dyDescent="0.3">
      <c r="C21" s="21" t="s">
        <v>430</v>
      </c>
      <c r="D21" s="23">
        <f>D8</f>
        <v>600</v>
      </c>
      <c r="F21" s="23">
        <f>F8</f>
        <v>500</v>
      </c>
    </row>
    <row r="22" spans="3:6" ht="15" thickBot="1" x14ac:dyDescent="0.35">
      <c r="C22" s="47" t="s">
        <v>34</v>
      </c>
      <c r="D22" s="89">
        <f>SUM(D18:D21)</f>
        <v>1730</v>
      </c>
      <c r="E22" s="47"/>
      <c r="F22" s="89">
        <f>SUM(F18:F21)</f>
        <v>1520</v>
      </c>
    </row>
    <row r="23" spans="3:6" ht="15" thickTop="1" x14ac:dyDescent="0.3">
      <c r="C23" s="21" t="s">
        <v>431</v>
      </c>
      <c r="D23" s="23">
        <f>D7</f>
        <v>0</v>
      </c>
      <c r="F23" s="23">
        <f>F7</f>
        <v>210</v>
      </c>
    </row>
    <row r="24" spans="3:6" ht="15" thickBot="1" x14ac:dyDescent="0.35">
      <c r="C24" s="47" t="s">
        <v>432</v>
      </c>
      <c r="D24" s="89">
        <f>D22+D23</f>
        <v>1730</v>
      </c>
      <c r="E24" s="47"/>
      <c r="F24" s="89">
        <f>F22+F23</f>
        <v>1730</v>
      </c>
    </row>
    <row r="25" spans="3:6" ht="15" thickTop="1" x14ac:dyDescent="0.3"/>
    <row r="26" spans="3:6" x14ac:dyDescent="0.3">
      <c r="C26" s="21" t="s">
        <v>8</v>
      </c>
      <c r="D26" s="23">
        <f>D5</f>
        <v>2600</v>
      </c>
      <c r="F26" s="23">
        <f>F5</f>
        <v>2600</v>
      </c>
    </row>
    <row r="27" spans="3:6" x14ac:dyDescent="0.3">
      <c r="C27" s="21" t="s">
        <v>433</v>
      </c>
      <c r="D27" s="23">
        <f>D6</f>
        <v>870</v>
      </c>
      <c r="F27" s="23">
        <f>F6</f>
        <v>870</v>
      </c>
    </row>
    <row r="28" spans="3:6" ht="15" thickBot="1" x14ac:dyDescent="0.35">
      <c r="C28" s="47" t="s">
        <v>432</v>
      </c>
      <c r="D28" s="89">
        <f>D26-D27</f>
        <v>1730</v>
      </c>
      <c r="E28" s="47"/>
      <c r="F28" s="89">
        <f>F26-F27</f>
        <v>1730</v>
      </c>
    </row>
    <row r="29" spans="3:6" ht="15" thickTop="1" x14ac:dyDescent="0.3"/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"/>
  <sheetViews>
    <sheetView workbookViewId="0">
      <selection activeCell="H12" sqref="H12"/>
    </sheetView>
  </sheetViews>
  <sheetFormatPr defaultRowHeight="14.4" x14ac:dyDescent="0.3"/>
  <cols>
    <col min="2" max="2" width="29.44140625" customWidth="1"/>
  </cols>
  <sheetData>
    <row r="4" spans="2:3" x14ac:dyDescent="0.3">
      <c r="B4" t="s">
        <v>446</v>
      </c>
      <c r="C4" s="5">
        <v>3000</v>
      </c>
    </row>
    <row r="5" spans="2:3" x14ac:dyDescent="0.3">
      <c r="B5" t="s">
        <v>447</v>
      </c>
      <c r="C5" s="5">
        <v>2000</v>
      </c>
    </row>
    <row r="6" spans="2:3" x14ac:dyDescent="0.3">
      <c r="B6" t="s">
        <v>448</v>
      </c>
      <c r="C6" s="5">
        <v>500</v>
      </c>
    </row>
    <row r="7" spans="2:3" x14ac:dyDescent="0.3">
      <c r="B7" t="s">
        <v>444</v>
      </c>
      <c r="C7" s="5">
        <v>50</v>
      </c>
    </row>
    <row r="8" spans="2:3" x14ac:dyDescent="0.3">
      <c r="B8" t="s">
        <v>445</v>
      </c>
      <c r="C8" s="5">
        <v>-400</v>
      </c>
    </row>
    <row r="10" spans="2:3" ht="15" thickBot="1" x14ac:dyDescent="0.35">
      <c r="B10" s="8" t="s">
        <v>449</v>
      </c>
      <c r="C10" s="9">
        <f>C4+C5+C6+C7</f>
        <v>5550</v>
      </c>
    </row>
    <row r="11" spans="2:3" ht="15" thickTop="1" x14ac:dyDescent="0.3"/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workbookViewId="0">
      <selection activeCell="H12" sqref="H12"/>
    </sheetView>
  </sheetViews>
  <sheetFormatPr defaultRowHeight="14.4" x14ac:dyDescent="0.3"/>
  <cols>
    <col min="1" max="1" width="1.6640625" style="33" customWidth="1"/>
    <col min="2" max="2" width="1.6640625" style="21" hidden="1" customWidth="1"/>
    <col min="3" max="3" width="27.88671875" style="21" customWidth="1"/>
    <col min="4" max="4" width="9.21875" style="21" customWidth="1"/>
    <col min="5" max="7" width="8.88671875" style="21"/>
    <col min="8" max="8" width="2.109375" style="21" customWidth="1"/>
    <col min="9" max="9" width="2" style="21" customWidth="1"/>
    <col min="10" max="10" width="25.21875" style="21" customWidth="1"/>
    <col min="11" max="16384" width="8.88671875" style="21"/>
  </cols>
  <sheetData>
    <row r="2" spans="1:13" x14ac:dyDescent="0.3">
      <c r="A2" s="33" t="s">
        <v>7</v>
      </c>
      <c r="E2" s="92">
        <v>1</v>
      </c>
      <c r="F2" s="92">
        <v>2</v>
      </c>
      <c r="G2" s="92">
        <v>3</v>
      </c>
      <c r="I2" s="33" t="s">
        <v>14</v>
      </c>
    </row>
    <row r="3" spans="1:13" x14ac:dyDescent="0.3">
      <c r="C3" s="21" t="s">
        <v>450</v>
      </c>
      <c r="E3" s="24">
        <v>1400</v>
      </c>
      <c r="F3" s="24">
        <v>1500</v>
      </c>
      <c r="G3" s="24">
        <v>1650</v>
      </c>
      <c r="I3" s="33"/>
      <c r="J3" s="21" t="s">
        <v>302</v>
      </c>
      <c r="K3" s="21">
        <f>E10</f>
        <v>670</v>
      </c>
      <c r="L3" s="21">
        <f>F10</f>
        <v>442</v>
      </c>
      <c r="M3" s="21">
        <f>G10</f>
        <v>506</v>
      </c>
    </row>
    <row r="4" spans="1:13" x14ac:dyDescent="0.3">
      <c r="C4" s="21" t="s">
        <v>451</v>
      </c>
      <c r="E4" s="24">
        <v>570</v>
      </c>
      <c r="F4" s="24">
        <v>670</v>
      </c>
      <c r="G4" s="24">
        <v>840</v>
      </c>
      <c r="I4" s="33"/>
      <c r="J4" s="21" t="s">
        <v>26</v>
      </c>
      <c r="K4" s="21">
        <f t="shared" ref="K4:M5" si="0">E5</f>
        <v>140</v>
      </c>
      <c r="L4" s="21">
        <f t="shared" si="0"/>
        <v>189</v>
      </c>
      <c r="M4" s="21">
        <f t="shared" si="0"/>
        <v>219</v>
      </c>
    </row>
    <row r="5" spans="1:13" x14ac:dyDescent="0.3">
      <c r="C5" s="21" t="s">
        <v>24</v>
      </c>
      <c r="E5" s="24">
        <v>140</v>
      </c>
      <c r="F5" s="24">
        <v>189</v>
      </c>
      <c r="G5" s="24">
        <v>219</v>
      </c>
      <c r="I5" s="33"/>
      <c r="J5" s="21" t="s">
        <v>455</v>
      </c>
      <c r="K5" s="21">
        <f t="shared" si="0"/>
        <v>0</v>
      </c>
      <c r="L5" s="21">
        <f t="shared" si="0"/>
        <v>159</v>
      </c>
      <c r="M5" s="21">
        <f t="shared" si="0"/>
        <v>20</v>
      </c>
    </row>
    <row r="6" spans="1:13" ht="15" thickBot="1" x14ac:dyDescent="0.35">
      <c r="C6" s="21" t="s">
        <v>452</v>
      </c>
      <c r="E6" s="24">
        <v>0</v>
      </c>
      <c r="F6" s="24">
        <v>159</v>
      </c>
      <c r="G6" s="24">
        <v>20</v>
      </c>
      <c r="I6" s="33"/>
      <c r="J6" s="84" t="s">
        <v>456</v>
      </c>
      <c r="K6" s="84">
        <f>SUM(K3:K5)</f>
        <v>810</v>
      </c>
      <c r="L6" s="84">
        <f t="shared" ref="L6:M6" si="1">SUM(L3:L5)</f>
        <v>790</v>
      </c>
      <c r="M6" s="84">
        <f t="shared" si="1"/>
        <v>745</v>
      </c>
    </row>
    <row r="7" spans="1:13" x14ac:dyDescent="0.3">
      <c r="C7" s="35" t="s">
        <v>73</v>
      </c>
      <c r="D7" s="35"/>
      <c r="E7" s="35">
        <f>E3-E4-E5-E6</f>
        <v>690</v>
      </c>
      <c r="F7" s="35">
        <f t="shared" ref="F7:G7" si="2">F3-F4-F5-F6</f>
        <v>482</v>
      </c>
      <c r="G7" s="35">
        <f t="shared" si="2"/>
        <v>571</v>
      </c>
      <c r="I7" s="33"/>
      <c r="J7" s="21" t="s">
        <v>380</v>
      </c>
      <c r="K7" s="24">
        <v>-200</v>
      </c>
      <c r="L7" s="24">
        <v>-150</v>
      </c>
      <c r="M7" s="24">
        <v>-250</v>
      </c>
    </row>
    <row r="8" spans="1:13" x14ac:dyDescent="0.3">
      <c r="C8" s="21" t="s">
        <v>453</v>
      </c>
      <c r="E8" s="24">
        <v>40</v>
      </c>
      <c r="F8" s="24">
        <v>50</v>
      </c>
      <c r="G8" s="24">
        <v>80</v>
      </c>
      <c r="I8" s="33"/>
      <c r="J8" s="21" t="s">
        <v>381</v>
      </c>
      <c r="K8" s="24">
        <v>30</v>
      </c>
      <c r="L8" s="24">
        <v>20</v>
      </c>
      <c r="M8" s="24">
        <v>10</v>
      </c>
    </row>
    <row r="9" spans="1:13" ht="15" thickBot="1" x14ac:dyDescent="0.35">
      <c r="C9" s="21" t="s">
        <v>454</v>
      </c>
      <c r="E9" s="24">
        <v>20</v>
      </c>
      <c r="F9" s="24">
        <v>10</v>
      </c>
      <c r="G9" s="24">
        <v>15</v>
      </c>
      <c r="I9" s="33"/>
      <c r="J9" s="84" t="s">
        <v>379</v>
      </c>
      <c r="K9" s="84">
        <f>SUM(K7:K8)</f>
        <v>-170</v>
      </c>
      <c r="L9" s="84">
        <f>SUM(L7:L8)</f>
        <v>-130</v>
      </c>
      <c r="M9" s="84">
        <f>SUM(M7:M8)</f>
        <v>-240</v>
      </c>
    </row>
    <row r="10" spans="1:13" ht="15" thickBot="1" x14ac:dyDescent="0.35">
      <c r="C10" s="47" t="s">
        <v>302</v>
      </c>
      <c r="D10" s="47"/>
      <c r="E10" s="47">
        <f>E7-E8+E9</f>
        <v>670</v>
      </c>
      <c r="F10" s="47">
        <f t="shared" ref="F10:G10" si="3">F7-F8+F9</f>
        <v>442</v>
      </c>
      <c r="G10" s="47">
        <f t="shared" si="3"/>
        <v>506</v>
      </c>
      <c r="I10" s="33"/>
      <c r="J10" s="21" t="s">
        <v>457</v>
      </c>
      <c r="K10" s="24">
        <v>200</v>
      </c>
      <c r="L10" s="24">
        <v>130</v>
      </c>
      <c r="M10" s="24">
        <v>150</v>
      </c>
    </row>
    <row r="11" spans="1:13" ht="15" thickTop="1" x14ac:dyDescent="0.3">
      <c r="I11" s="33"/>
      <c r="J11" s="21" t="s">
        <v>458</v>
      </c>
      <c r="K11" s="24">
        <v>-300</v>
      </c>
      <c r="L11" s="24">
        <v>-600</v>
      </c>
      <c r="M11" s="24">
        <v>-250</v>
      </c>
    </row>
    <row r="12" spans="1:13" x14ac:dyDescent="0.3">
      <c r="I12" s="33"/>
      <c r="J12" s="21" t="s">
        <v>459</v>
      </c>
      <c r="K12" s="24">
        <v>-500</v>
      </c>
      <c r="L12" s="24">
        <v>-200</v>
      </c>
      <c r="M12" s="24">
        <v>-400</v>
      </c>
    </row>
    <row r="13" spans="1:13" ht="15" thickBot="1" x14ac:dyDescent="0.35">
      <c r="A13" s="33" t="s">
        <v>412</v>
      </c>
      <c r="E13" s="92">
        <v>1</v>
      </c>
      <c r="F13" s="92">
        <v>2</v>
      </c>
      <c r="G13" s="92">
        <v>3</v>
      </c>
      <c r="I13" s="33"/>
      <c r="J13" s="84" t="s">
        <v>460</v>
      </c>
      <c r="K13" s="84">
        <f>SUM(K10:K12)</f>
        <v>-600</v>
      </c>
      <c r="L13" s="84">
        <f>SUM(L10:L12)</f>
        <v>-670</v>
      </c>
      <c r="M13" s="84">
        <f>SUM(M10:M12)</f>
        <v>-500</v>
      </c>
    </row>
    <row r="14" spans="1:13" x14ac:dyDescent="0.3">
      <c r="C14" s="21" t="s">
        <v>77</v>
      </c>
      <c r="E14" s="21">
        <f>D19</f>
        <v>3000</v>
      </c>
      <c r="I14" s="33"/>
      <c r="J14" s="21" t="s">
        <v>17</v>
      </c>
      <c r="K14" s="21">
        <f>K6+K9+K13</f>
        <v>40</v>
      </c>
      <c r="L14" s="21">
        <f t="shared" ref="L14:M14" si="4">L6+L9+L13</f>
        <v>-10</v>
      </c>
      <c r="M14" s="21">
        <f t="shared" si="4"/>
        <v>5</v>
      </c>
    </row>
    <row r="15" spans="1:13" x14ac:dyDescent="0.3">
      <c r="C15" s="21" t="s">
        <v>84</v>
      </c>
    </row>
    <row r="16" spans="1:13" x14ac:dyDescent="0.3">
      <c r="C16" s="21" t="s">
        <v>461</v>
      </c>
    </row>
    <row r="17" spans="3:4" x14ac:dyDescent="0.3">
      <c r="C17" s="21" t="s">
        <v>452</v>
      </c>
    </row>
    <row r="18" spans="3:4" x14ac:dyDescent="0.3">
      <c r="C18" s="21" t="s">
        <v>24</v>
      </c>
    </row>
    <row r="19" spans="3:4" x14ac:dyDescent="0.3">
      <c r="C19" s="21" t="s">
        <v>79</v>
      </c>
      <c r="D19" s="24">
        <v>3000</v>
      </c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19"/>
  <sheetViews>
    <sheetView workbookViewId="0">
      <selection activeCell="H12" sqref="H12"/>
    </sheetView>
  </sheetViews>
  <sheetFormatPr defaultRowHeight="14.4" x14ac:dyDescent="0.3"/>
  <cols>
    <col min="3" max="3" width="1.44140625" style="90" customWidth="1"/>
    <col min="4" max="4" width="1.44140625" customWidth="1"/>
    <col min="5" max="5" width="21.77734375" customWidth="1"/>
    <col min="7" max="7" width="2" customWidth="1"/>
    <col min="8" max="8" width="1.44140625" style="90" customWidth="1"/>
    <col min="9" max="9" width="1.6640625" customWidth="1"/>
    <col min="10" max="10" width="26.77734375" customWidth="1"/>
    <col min="12" max="12" width="1.88671875" customWidth="1"/>
    <col min="13" max="13" width="1.77734375" style="90" customWidth="1"/>
    <col min="14" max="14" width="24.88671875" customWidth="1"/>
  </cols>
  <sheetData>
    <row r="3" spans="3:15" x14ac:dyDescent="0.3">
      <c r="C3" s="90" t="s">
        <v>472</v>
      </c>
      <c r="H3" s="90" t="s">
        <v>483</v>
      </c>
    </row>
    <row r="4" spans="3:15" x14ac:dyDescent="0.3">
      <c r="D4" t="s">
        <v>509</v>
      </c>
      <c r="F4" s="5">
        <v>100</v>
      </c>
      <c r="I4" t="s">
        <v>513</v>
      </c>
      <c r="K4" s="5">
        <v>140</v>
      </c>
    </row>
    <row r="5" spans="3:15" x14ac:dyDescent="0.3">
      <c r="D5" t="s">
        <v>510</v>
      </c>
      <c r="F5" s="5">
        <v>200</v>
      </c>
      <c r="I5" t="s">
        <v>515</v>
      </c>
      <c r="K5" s="5">
        <v>30</v>
      </c>
      <c r="O5" s="5"/>
    </row>
    <row r="6" spans="3:15" x14ac:dyDescent="0.3">
      <c r="D6" t="s">
        <v>475</v>
      </c>
      <c r="F6" s="5">
        <v>150</v>
      </c>
      <c r="I6" t="s">
        <v>486</v>
      </c>
      <c r="K6" s="5">
        <v>145</v>
      </c>
      <c r="O6" s="5"/>
    </row>
    <row r="7" spans="3:15" x14ac:dyDescent="0.3">
      <c r="D7" t="s">
        <v>51</v>
      </c>
      <c r="F7" s="5">
        <v>160</v>
      </c>
      <c r="I7" t="s">
        <v>487</v>
      </c>
      <c r="K7" s="5">
        <v>135</v>
      </c>
      <c r="O7" s="5"/>
    </row>
    <row r="8" spans="3:15" ht="15" thickBot="1" x14ac:dyDescent="0.35">
      <c r="D8" t="s">
        <v>511</v>
      </c>
      <c r="F8" s="5">
        <v>60</v>
      </c>
      <c r="J8" s="8" t="s">
        <v>490</v>
      </c>
      <c r="K8" s="9">
        <f>SUM(K4:K7)</f>
        <v>450</v>
      </c>
      <c r="O8" s="5"/>
    </row>
    <row r="9" spans="3:15" ht="15" thickTop="1" x14ac:dyDescent="0.3">
      <c r="D9" t="s">
        <v>476</v>
      </c>
      <c r="F9" s="5">
        <v>55</v>
      </c>
      <c r="K9" s="5"/>
      <c r="O9" s="5"/>
    </row>
    <row r="10" spans="3:15" ht="15" thickBot="1" x14ac:dyDescent="0.35">
      <c r="E10" s="8" t="s">
        <v>481</v>
      </c>
      <c r="F10" s="9">
        <f>SUM(F4:F9)</f>
        <v>725</v>
      </c>
      <c r="H10" s="90" t="s">
        <v>494</v>
      </c>
      <c r="K10" s="5"/>
      <c r="O10" s="5"/>
    </row>
    <row r="11" spans="3:15" ht="15" thickTop="1" x14ac:dyDescent="0.3">
      <c r="F11" s="5"/>
      <c r="I11" t="s">
        <v>491</v>
      </c>
      <c r="K11" s="5">
        <v>1125</v>
      </c>
      <c r="O11" s="5"/>
    </row>
    <row r="12" spans="3:15" x14ac:dyDescent="0.3">
      <c r="C12" s="90" t="s">
        <v>478</v>
      </c>
      <c r="F12" s="5"/>
      <c r="I12" t="s">
        <v>517</v>
      </c>
      <c r="K12" s="5">
        <v>20</v>
      </c>
      <c r="O12" s="5"/>
    </row>
    <row r="13" spans="3:15" ht="15" thickBot="1" x14ac:dyDescent="0.35">
      <c r="D13" t="s">
        <v>479</v>
      </c>
      <c r="F13" s="5">
        <v>1200</v>
      </c>
      <c r="I13" t="s">
        <v>518</v>
      </c>
      <c r="K13" s="5">
        <v>140</v>
      </c>
      <c r="N13" s="8"/>
      <c r="O13" s="9"/>
    </row>
    <row r="14" spans="3:15" ht="15" thickTop="1" x14ac:dyDescent="0.3">
      <c r="D14" t="s">
        <v>512</v>
      </c>
      <c r="F14" s="5">
        <v>15</v>
      </c>
      <c r="J14" t="s">
        <v>493</v>
      </c>
      <c r="K14" s="5">
        <f>SUM(K11:K13)</f>
        <v>1285</v>
      </c>
    </row>
    <row r="15" spans="3:15" ht="15" thickBot="1" x14ac:dyDescent="0.35">
      <c r="D15" t="s">
        <v>514</v>
      </c>
      <c r="F15" s="5">
        <v>122</v>
      </c>
      <c r="J15" s="8" t="s">
        <v>519</v>
      </c>
      <c r="K15" s="9">
        <f>F18-K14-K8</f>
        <v>327</v>
      </c>
    </row>
    <row r="16" spans="3:15" ht="15.6" thickTop="1" thickBot="1" x14ac:dyDescent="0.35">
      <c r="E16" s="8" t="s">
        <v>516</v>
      </c>
      <c r="F16" s="9">
        <f>SUM(F13:F15)</f>
        <v>1337</v>
      </c>
      <c r="K16" s="5"/>
    </row>
    <row r="17" spans="5:11" ht="15.6" thickTop="1" thickBot="1" x14ac:dyDescent="0.35">
      <c r="F17" s="5"/>
      <c r="J17" s="8" t="s">
        <v>520</v>
      </c>
      <c r="K17" s="9">
        <f>K15+K14+K8</f>
        <v>2062</v>
      </c>
    </row>
    <row r="18" spans="5:11" ht="15.6" thickTop="1" thickBot="1" x14ac:dyDescent="0.35">
      <c r="E18" s="8" t="s">
        <v>323</v>
      </c>
      <c r="F18" s="9">
        <f>F16+F10</f>
        <v>2062</v>
      </c>
    </row>
    <row r="19" spans="5:11" ht="15" thickTop="1" x14ac:dyDescent="0.3"/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7"/>
  <sheetViews>
    <sheetView workbookViewId="0">
      <selection activeCell="H12" sqref="H12"/>
    </sheetView>
  </sheetViews>
  <sheetFormatPr defaultRowHeight="14.4" x14ac:dyDescent="0.3"/>
  <cols>
    <col min="3" max="3" width="21.88671875" customWidth="1"/>
    <col min="6" max="6" width="24.88671875" customWidth="1"/>
  </cols>
  <sheetData>
    <row r="1" spans="3:7" x14ac:dyDescent="0.3">
      <c r="F1" t="s">
        <v>534</v>
      </c>
      <c r="G1" s="5">
        <v>5200</v>
      </c>
    </row>
    <row r="2" spans="3:7" x14ac:dyDescent="0.3">
      <c r="F2" t="s">
        <v>541</v>
      </c>
      <c r="G2" s="5">
        <f>G1</f>
        <v>5200</v>
      </c>
    </row>
    <row r="4" spans="3:7" x14ac:dyDescent="0.3">
      <c r="C4" t="s">
        <v>533</v>
      </c>
      <c r="F4" t="s">
        <v>535</v>
      </c>
    </row>
    <row r="6" spans="3:7" x14ac:dyDescent="0.3">
      <c r="C6" s="90" t="s">
        <v>47</v>
      </c>
      <c r="F6" s="90" t="s">
        <v>47</v>
      </c>
    </row>
    <row r="7" spans="3:7" x14ac:dyDescent="0.3">
      <c r="C7" t="s">
        <v>475</v>
      </c>
      <c r="D7" s="5">
        <v>200</v>
      </c>
      <c r="F7" t="s">
        <v>475</v>
      </c>
      <c r="G7">
        <v>190</v>
      </c>
    </row>
    <row r="8" spans="3:7" x14ac:dyDescent="0.3">
      <c r="C8" t="s">
        <v>51</v>
      </c>
      <c r="D8" s="5">
        <v>300</v>
      </c>
      <c r="F8" t="s">
        <v>536</v>
      </c>
      <c r="G8">
        <v>320</v>
      </c>
    </row>
    <row r="9" spans="3:7" x14ac:dyDescent="0.3">
      <c r="C9" t="s">
        <v>91</v>
      </c>
      <c r="D9" s="5">
        <v>2000</v>
      </c>
      <c r="F9" t="s">
        <v>537</v>
      </c>
      <c r="G9">
        <v>2800</v>
      </c>
    </row>
    <row r="10" spans="3:7" ht="15" thickBot="1" x14ac:dyDescent="0.35">
      <c r="C10" s="8" t="s">
        <v>323</v>
      </c>
      <c r="D10" s="9">
        <f>SUM(D7:D9)</f>
        <v>2500</v>
      </c>
      <c r="F10" t="s">
        <v>538</v>
      </c>
      <c r="G10">
        <v>350</v>
      </c>
    </row>
    <row r="11" spans="3:7" ht="15" thickTop="1" x14ac:dyDescent="0.3">
      <c r="F11" t="s">
        <v>539</v>
      </c>
      <c r="G11">
        <v>450</v>
      </c>
    </row>
    <row r="12" spans="3:7" ht="15" thickBot="1" x14ac:dyDescent="0.35">
      <c r="C12" s="8" t="s">
        <v>6</v>
      </c>
      <c r="D12" s="96">
        <v>2500</v>
      </c>
      <c r="F12" t="s">
        <v>540</v>
      </c>
      <c r="G12">
        <v>620</v>
      </c>
    </row>
    <row r="13" spans="3:7" ht="15" thickTop="1" x14ac:dyDescent="0.3">
      <c r="F13" t="s">
        <v>480</v>
      </c>
      <c r="G13" s="5"/>
    </row>
    <row r="14" spans="3:7" ht="15" thickBot="1" x14ac:dyDescent="0.35">
      <c r="F14" s="8" t="s">
        <v>323</v>
      </c>
      <c r="G14" s="9"/>
    </row>
    <row r="15" spans="3:7" ht="15" thickTop="1" x14ac:dyDescent="0.3"/>
    <row r="16" spans="3:7" ht="15" thickBot="1" x14ac:dyDescent="0.35">
      <c r="F16" s="8" t="s">
        <v>6</v>
      </c>
      <c r="G16" s="9"/>
    </row>
    <row r="17" ht="15" thickTop="1" x14ac:dyDescent="0.3"/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workbookViewId="0">
      <selection activeCell="H12" sqref="H12"/>
    </sheetView>
  </sheetViews>
  <sheetFormatPr defaultRowHeight="14.4" x14ac:dyDescent="0.3"/>
  <cols>
    <col min="1" max="1" width="1.5546875" style="90" customWidth="1"/>
    <col min="2" max="2" width="23.77734375" customWidth="1"/>
    <col min="10" max="10" width="13" customWidth="1"/>
  </cols>
  <sheetData>
    <row r="2" spans="1:16" x14ac:dyDescent="0.3">
      <c r="A2" s="90" t="s">
        <v>543</v>
      </c>
      <c r="C2">
        <v>1</v>
      </c>
      <c r="D2">
        <v>2</v>
      </c>
      <c r="E2">
        <v>3</v>
      </c>
      <c r="F2">
        <v>4</v>
      </c>
      <c r="G2">
        <v>5</v>
      </c>
      <c r="L2">
        <v>1</v>
      </c>
      <c r="M2">
        <v>2</v>
      </c>
      <c r="N2">
        <v>3</v>
      </c>
      <c r="O2">
        <v>4</v>
      </c>
      <c r="P2">
        <v>5</v>
      </c>
    </row>
    <row r="3" spans="1:16" x14ac:dyDescent="0.3">
      <c r="B3" t="s">
        <v>36</v>
      </c>
      <c r="C3" s="5">
        <v>200</v>
      </c>
      <c r="D3" s="5">
        <v>200</v>
      </c>
      <c r="E3" s="5">
        <v>200</v>
      </c>
      <c r="F3" s="5">
        <v>200</v>
      </c>
      <c r="G3" s="5">
        <v>200</v>
      </c>
      <c r="J3" t="s">
        <v>550</v>
      </c>
      <c r="L3" s="27">
        <f>C12/(C11+C12)</f>
        <v>0.5</v>
      </c>
      <c r="M3" s="27">
        <f t="shared" ref="M3:P3" si="0">D12/(D11+D12)</f>
        <v>0.5</v>
      </c>
      <c r="N3" s="27">
        <f t="shared" si="0"/>
        <v>0.5</v>
      </c>
      <c r="O3" s="27">
        <f t="shared" si="0"/>
        <v>0.5</v>
      </c>
      <c r="P3" s="27">
        <f t="shared" si="0"/>
        <v>0.5</v>
      </c>
    </row>
    <row r="4" spans="1:16" x14ac:dyDescent="0.3">
      <c r="C4" s="5"/>
      <c r="D4" s="5"/>
      <c r="E4" s="5"/>
      <c r="F4" s="5"/>
      <c r="G4" s="5"/>
      <c r="J4" t="s">
        <v>551</v>
      </c>
      <c r="L4" s="27">
        <f>C26/(C25+C26)</f>
        <v>0.5</v>
      </c>
      <c r="M4" s="27">
        <f t="shared" ref="M4:P4" si="1">D26/(D25+D26)</f>
        <v>0.5</v>
      </c>
      <c r="N4" s="27">
        <f t="shared" si="1"/>
        <v>0.83333333333333337</v>
      </c>
      <c r="O4" s="27">
        <f t="shared" si="1"/>
        <v>0.66666666666666663</v>
      </c>
      <c r="P4" s="27">
        <f t="shared" si="1"/>
        <v>0.5</v>
      </c>
    </row>
    <row r="5" spans="1:16" x14ac:dyDescent="0.3">
      <c r="B5" t="s">
        <v>91</v>
      </c>
      <c r="C5" s="5"/>
      <c r="D5" s="5"/>
      <c r="E5" s="5"/>
      <c r="F5" s="5"/>
      <c r="G5" s="5"/>
    </row>
    <row r="6" spans="1:16" x14ac:dyDescent="0.3">
      <c r="B6" t="s">
        <v>77</v>
      </c>
      <c r="C6" s="5">
        <f>SUM(C3:G3)</f>
        <v>1000</v>
      </c>
      <c r="D6" s="5">
        <f>C6</f>
        <v>1000</v>
      </c>
      <c r="E6" s="5">
        <f t="shared" ref="E6:F6" si="2">D6</f>
        <v>1000</v>
      </c>
      <c r="F6" s="5">
        <f t="shared" si="2"/>
        <v>1000</v>
      </c>
      <c r="G6" s="5">
        <f t="shared" ref="G6" si="3">F6</f>
        <v>1000</v>
      </c>
    </row>
    <row r="7" spans="1:16" x14ac:dyDescent="0.3">
      <c r="B7" t="s">
        <v>88</v>
      </c>
      <c r="C7" s="5">
        <f>C3</f>
        <v>200</v>
      </c>
      <c r="D7" s="5">
        <f>C7+D3</f>
        <v>400</v>
      </c>
      <c r="E7" s="5">
        <f>D7+E3</f>
        <v>600</v>
      </c>
      <c r="F7" s="5">
        <f>E7+F3</f>
        <v>800</v>
      </c>
      <c r="G7" s="5">
        <f>F7+G3</f>
        <v>1000</v>
      </c>
    </row>
    <row r="8" spans="1:16" x14ac:dyDescent="0.3">
      <c r="B8" t="s">
        <v>91</v>
      </c>
      <c r="C8" s="5">
        <f>C6-C7</f>
        <v>800</v>
      </c>
      <c r="D8" s="5">
        <f t="shared" ref="D8:G8" si="4">D6-D7</f>
        <v>600</v>
      </c>
      <c r="E8" s="5">
        <f t="shared" si="4"/>
        <v>400</v>
      </c>
      <c r="F8" s="5">
        <f t="shared" si="4"/>
        <v>200</v>
      </c>
      <c r="G8" s="5">
        <f t="shared" si="4"/>
        <v>0</v>
      </c>
    </row>
    <row r="9" spans="1:16" x14ac:dyDescent="0.3">
      <c r="B9" t="s">
        <v>548</v>
      </c>
      <c r="C9">
        <v>600</v>
      </c>
      <c r="D9">
        <v>600</v>
      </c>
      <c r="E9">
        <v>600</v>
      </c>
      <c r="F9">
        <v>600</v>
      </c>
      <c r="G9">
        <v>600</v>
      </c>
    </row>
    <row r="10" spans="1:16" ht="15" thickBot="1" x14ac:dyDescent="0.35">
      <c r="B10" s="8" t="s">
        <v>323</v>
      </c>
      <c r="C10" s="9">
        <f>C8+C9</f>
        <v>1400</v>
      </c>
      <c r="D10" s="9">
        <f t="shared" ref="D10:G10" si="5">D8+D9</f>
        <v>1200</v>
      </c>
      <c r="E10" s="9">
        <f t="shared" si="5"/>
        <v>1000</v>
      </c>
      <c r="F10" s="9">
        <f t="shared" si="5"/>
        <v>800</v>
      </c>
      <c r="G10" s="9">
        <f t="shared" si="5"/>
        <v>600</v>
      </c>
    </row>
    <row r="11" spans="1:16" ht="15" thickTop="1" x14ac:dyDescent="0.3">
      <c r="B11" t="s">
        <v>260</v>
      </c>
      <c r="C11">
        <v>700</v>
      </c>
      <c r="D11">
        <f>C11-100</f>
        <v>600</v>
      </c>
      <c r="E11">
        <f t="shared" ref="E11:G11" si="6">D11-100</f>
        <v>500</v>
      </c>
      <c r="F11">
        <f t="shared" si="6"/>
        <v>400</v>
      </c>
      <c r="G11">
        <f t="shared" si="6"/>
        <v>300</v>
      </c>
    </row>
    <row r="12" spans="1:16" x14ac:dyDescent="0.3">
      <c r="B12" t="s">
        <v>544</v>
      </c>
      <c r="C12">
        <f>C11</f>
        <v>700</v>
      </c>
      <c r="D12">
        <f t="shared" ref="D12:G12" si="7">D11</f>
        <v>600</v>
      </c>
      <c r="E12">
        <f t="shared" si="7"/>
        <v>500</v>
      </c>
      <c r="F12">
        <f t="shared" si="7"/>
        <v>400</v>
      </c>
      <c r="G12">
        <f t="shared" si="7"/>
        <v>300</v>
      </c>
    </row>
    <row r="14" spans="1:16" x14ac:dyDescent="0.3">
      <c r="A14" s="90" t="s">
        <v>545</v>
      </c>
    </row>
    <row r="15" spans="1:16" x14ac:dyDescent="0.3">
      <c r="B15" t="s">
        <v>546</v>
      </c>
      <c r="C15" s="5"/>
      <c r="D15" s="5"/>
      <c r="E15" s="5">
        <v>400</v>
      </c>
      <c r="F15" s="5"/>
      <c r="G15" s="5"/>
    </row>
    <row r="16" spans="1:16" x14ac:dyDescent="0.3">
      <c r="B16" t="s">
        <v>36</v>
      </c>
      <c r="C16" s="5">
        <v>200</v>
      </c>
      <c r="D16" s="5">
        <v>200</v>
      </c>
      <c r="E16" s="5">
        <v>200</v>
      </c>
      <c r="F16" s="5"/>
      <c r="G16" s="5"/>
    </row>
    <row r="18" spans="2:7" x14ac:dyDescent="0.3">
      <c r="B18" t="s">
        <v>91</v>
      </c>
    </row>
    <row r="19" spans="2:7" x14ac:dyDescent="0.3">
      <c r="B19" t="s">
        <v>77</v>
      </c>
      <c r="C19" s="5">
        <f>C6</f>
        <v>1000</v>
      </c>
      <c r="D19" s="5">
        <f t="shared" ref="D19:G19" si="8">D6</f>
        <v>1000</v>
      </c>
      <c r="E19" s="5">
        <f t="shared" si="8"/>
        <v>1000</v>
      </c>
      <c r="F19" s="5">
        <f t="shared" si="8"/>
        <v>1000</v>
      </c>
      <c r="G19" s="5">
        <f t="shared" si="8"/>
        <v>1000</v>
      </c>
    </row>
    <row r="20" spans="2:7" x14ac:dyDescent="0.3">
      <c r="B20" t="s">
        <v>88</v>
      </c>
      <c r="C20" s="5">
        <f>C16</f>
        <v>200</v>
      </c>
      <c r="D20" s="5">
        <f>C20+D16</f>
        <v>400</v>
      </c>
      <c r="E20" s="5">
        <f t="shared" ref="E20:G20" si="9">D20+E16</f>
        <v>600</v>
      </c>
      <c r="F20" s="5">
        <f t="shared" si="9"/>
        <v>600</v>
      </c>
      <c r="G20" s="5">
        <f t="shared" si="9"/>
        <v>600</v>
      </c>
    </row>
    <row r="21" spans="2:7" x14ac:dyDescent="0.3">
      <c r="B21" t="s">
        <v>547</v>
      </c>
      <c r="C21" s="5">
        <f>C15</f>
        <v>0</v>
      </c>
      <c r="D21" s="5">
        <f>C21+D15</f>
        <v>0</v>
      </c>
      <c r="E21" s="5">
        <f t="shared" ref="E21:G21" si="10">D21+E15</f>
        <v>400</v>
      </c>
      <c r="F21" s="5">
        <f t="shared" si="10"/>
        <v>400</v>
      </c>
      <c r="G21" s="5">
        <f t="shared" si="10"/>
        <v>400</v>
      </c>
    </row>
    <row r="22" spans="2:7" x14ac:dyDescent="0.3">
      <c r="B22" t="s">
        <v>91</v>
      </c>
      <c r="C22" s="5">
        <f>C19-C20-C21</f>
        <v>800</v>
      </c>
      <c r="D22" s="5">
        <f t="shared" ref="D22:G22" si="11">D19-D20-D21</f>
        <v>600</v>
      </c>
      <c r="E22" s="5">
        <f t="shared" si="11"/>
        <v>0</v>
      </c>
      <c r="F22" s="5">
        <f t="shared" si="11"/>
        <v>0</v>
      </c>
      <c r="G22" s="5">
        <f t="shared" si="11"/>
        <v>0</v>
      </c>
    </row>
    <row r="23" spans="2:7" x14ac:dyDescent="0.3">
      <c r="B23" t="s">
        <v>548</v>
      </c>
      <c r="C23">
        <v>600</v>
      </c>
      <c r="D23">
        <v>600</v>
      </c>
      <c r="E23">
        <v>600</v>
      </c>
      <c r="F23">
        <v>600</v>
      </c>
      <c r="G23">
        <v>600</v>
      </c>
    </row>
    <row r="24" spans="2:7" ht="15" thickBot="1" x14ac:dyDescent="0.35">
      <c r="B24" s="8" t="s">
        <v>549</v>
      </c>
      <c r="C24" s="9">
        <f>SUM(C22:C23)</f>
        <v>1400</v>
      </c>
      <c r="D24" s="9">
        <f t="shared" ref="D24:G24" si="12">SUM(D22:D23)</f>
        <v>1200</v>
      </c>
      <c r="E24" s="9">
        <f t="shared" si="12"/>
        <v>600</v>
      </c>
      <c r="F24" s="9">
        <f t="shared" si="12"/>
        <v>600</v>
      </c>
      <c r="G24" s="9">
        <f t="shared" si="12"/>
        <v>600</v>
      </c>
    </row>
    <row r="25" spans="2:7" ht="15" thickTop="1" x14ac:dyDescent="0.3">
      <c r="B25" t="s">
        <v>260</v>
      </c>
      <c r="C25">
        <f>C11</f>
        <v>700</v>
      </c>
      <c r="D25">
        <f>D11</f>
        <v>600</v>
      </c>
      <c r="E25" s="5">
        <f>E24-E26</f>
        <v>100</v>
      </c>
      <c r="F25" s="5">
        <f t="shared" ref="F25:G25" si="13">F24-F26</f>
        <v>200</v>
      </c>
      <c r="G25" s="5">
        <f t="shared" si="13"/>
        <v>300</v>
      </c>
    </row>
    <row r="26" spans="2:7" x14ac:dyDescent="0.3">
      <c r="B26" t="s">
        <v>544</v>
      </c>
      <c r="C26">
        <f>C12</f>
        <v>700</v>
      </c>
      <c r="D26">
        <f t="shared" ref="D26:G26" si="14">D12</f>
        <v>600</v>
      </c>
      <c r="E26">
        <f t="shared" si="14"/>
        <v>500</v>
      </c>
      <c r="F26">
        <f t="shared" si="14"/>
        <v>400</v>
      </c>
      <c r="G26">
        <f t="shared" si="14"/>
        <v>300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6" max="17" width="2" customWidth="1"/>
    <col min="18" max="18" width="20" customWidth="1"/>
  </cols>
  <sheetData>
    <row r="2" spans="1:19" x14ac:dyDescent="0.3">
      <c r="A2" s="90" t="s">
        <v>7</v>
      </c>
      <c r="F2" s="90" t="s">
        <v>14</v>
      </c>
      <c r="K2" s="90"/>
      <c r="P2" s="90"/>
    </row>
    <row r="3" spans="1:19" x14ac:dyDescent="0.3">
      <c r="B3" t="s">
        <v>8</v>
      </c>
      <c r="D3">
        <v>1650</v>
      </c>
      <c r="G3" t="s">
        <v>302</v>
      </c>
      <c r="I3" s="19">
        <f>D16</f>
        <v>319.89999999999998</v>
      </c>
      <c r="N3" s="19"/>
    </row>
    <row r="4" spans="1:19" x14ac:dyDescent="0.3">
      <c r="B4" t="s">
        <v>552</v>
      </c>
      <c r="D4">
        <v>890</v>
      </c>
      <c r="G4" t="s">
        <v>26</v>
      </c>
      <c r="I4">
        <f>D5</f>
        <v>320</v>
      </c>
    </row>
    <row r="5" spans="1:19" x14ac:dyDescent="0.3">
      <c r="B5" t="s">
        <v>24</v>
      </c>
      <c r="D5">
        <v>320</v>
      </c>
      <c r="G5" t="s">
        <v>561</v>
      </c>
      <c r="I5">
        <f>D15</f>
        <v>15</v>
      </c>
    </row>
    <row r="6" spans="1:19" ht="15" thickBot="1" x14ac:dyDescent="0.35">
      <c r="B6" t="s">
        <v>452</v>
      </c>
      <c r="D6">
        <v>50</v>
      </c>
      <c r="G6" t="s">
        <v>455</v>
      </c>
      <c r="I6">
        <f>D6</f>
        <v>50</v>
      </c>
      <c r="R6" s="8"/>
      <c r="S6" s="8"/>
    </row>
    <row r="7" spans="1:19" ht="15" thickTop="1" x14ac:dyDescent="0.3">
      <c r="B7" s="17" t="s">
        <v>73</v>
      </c>
      <c r="C7" s="17"/>
      <c r="D7" s="17">
        <f>D3-D4-D5-D6</f>
        <v>390</v>
      </c>
      <c r="G7" t="s">
        <v>558</v>
      </c>
      <c r="I7">
        <f>-D8</f>
        <v>-31</v>
      </c>
    </row>
    <row r="8" spans="1:19" x14ac:dyDescent="0.3">
      <c r="B8" t="s">
        <v>553</v>
      </c>
      <c r="D8" s="15">
        <v>31</v>
      </c>
      <c r="G8" t="s">
        <v>559</v>
      </c>
      <c r="I8">
        <v>-43</v>
      </c>
      <c r="S8" s="19"/>
    </row>
    <row r="9" spans="1:19" x14ac:dyDescent="0.3">
      <c r="B9" t="s">
        <v>554</v>
      </c>
      <c r="D9" s="15">
        <v>98</v>
      </c>
      <c r="G9" t="s">
        <v>560</v>
      </c>
      <c r="I9">
        <f>-D10</f>
        <v>18</v>
      </c>
    </row>
    <row r="10" spans="1:19" ht="15" thickBot="1" x14ac:dyDescent="0.35">
      <c r="B10" t="s">
        <v>555</v>
      </c>
      <c r="D10" s="15">
        <v>-18</v>
      </c>
      <c r="H10" s="8" t="s">
        <v>562</v>
      </c>
      <c r="I10" s="20">
        <f>SUM(I3:I9)</f>
        <v>648.9</v>
      </c>
    </row>
    <row r="11" spans="1:19" ht="15" thickTop="1" x14ac:dyDescent="0.3">
      <c r="B11" t="s">
        <v>453</v>
      </c>
      <c r="D11">
        <v>-56</v>
      </c>
      <c r="N11" s="19"/>
    </row>
    <row r="12" spans="1:19" ht="15" thickBot="1" x14ac:dyDescent="0.35">
      <c r="B12" t="s">
        <v>454</v>
      </c>
      <c r="D12">
        <v>12</v>
      </c>
      <c r="M12" s="8"/>
      <c r="N12" s="20"/>
    </row>
    <row r="13" spans="1:19" ht="15" thickTop="1" x14ac:dyDescent="0.3">
      <c r="B13" s="17" t="s">
        <v>392</v>
      </c>
      <c r="C13" s="17"/>
      <c r="D13" s="17">
        <f>D7+D8+D9+D10+D11+D12</f>
        <v>457</v>
      </c>
    </row>
    <row r="14" spans="1:19" x14ac:dyDescent="0.3">
      <c r="B14" t="s">
        <v>556</v>
      </c>
      <c r="D14" s="19">
        <f>D13*0.3-15</f>
        <v>122.1</v>
      </c>
    </row>
    <row r="15" spans="1:19" x14ac:dyDescent="0.3">
      <c r="B15" t="s">
        <v>557</v>
      </c>
      <c r="D15" s="15">
        <v>15</v>
      </c>
    </row>
    <row r="16" spans="1:19" ht="15" thickBot="1" x14ac:dyDescent="0.35">
      <c r="B16" s="8" t="s">
        <v>302</v>
      </c>
      <c r="C16" s="8"/>
      <c r="D16" s="20">
        <f>D13-D14-D15</f>
        <v>319.89999999999998</v>
      </c>
    </row>
    <row r="17" ht="15" thickTop="1" x14ac:dyDescent="0.3"/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"/>
  <sheetViews>
    <sheetView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</cols>
  <sheetData>
    <row r="2" spans="1:9" x14ac:dyDescent="0.3">
      <c r="A2" s="90" t="s">
        <v>7</v>
      </c>
      <c r="F2" s="90" t="s">
        <v>14</v>
      </c>
    </row>
    <row r="3" spans="1:9" x14ac:dyDescent="0.3">
      <c r="B3" t="s">
        <v>8</v>
      </c>
      <c r="D3">
        <v>1650</v>
      </c>
      <c r="G3" t="s">
        <v>302</v>
      </c>
      <c r="I3" s="19">
        <f>D16</f>
        <v>347.9</v>
      </c>
    </row>
    <row r="4" spans="1:9" x14ac:dyDescent="0.3">
      <c r="B4" t="s">
        <v>552</v>
      </c>
      <c r="D4">
        <v>890</v>
      </c>
      <c r="G4" t="s">
        <v>26</v>
      </c>
      <c r="I4">
        <f>D5</f>
        <v>280</v>
      </c>
    </row>
    <row r="5" spans="1:9" x14ac:dyDescent="0.3">
      <c r="B5" t="s">
        <v>24</v>
      </c>
      <c r="D5">
        <v>280</v>
      </c>
      <c r="G5" t="s">
        <v>561</v>
      </c>
      <c r="I5">
        <f>D15</f>
        <v>15</v>
      </c>
    </row>
    <row r="6" spans="1:9" x14ac:dyDescent="0.3">
      <c r="B6" t="s">
        <v>452</v>
      </c>
      <c r="D6">
        <v>50</v>
      </c>
      <c r="G6" t="s">
        <v>455</v>
      </c>
      <c r="I6">
        <f>D6</f>
        <v>50</v>
      </c>
    </row>
    <row r="7" spans="1:9" x14ac:dyDescent="0.3">
      <c r="B7" s="17" t="s">
        <v>73</v>
      </c>
      <c r="C7" s="17"/>
      <c r="D7" s="17">
        <f>D3-D4-D5-D6</f>
        <v>430</v>
      </c>
      <c r="G7" t="s">
        <v>558</v>
      </c>
      <c r="I7">
        <f>-D8</f>
        <v>-31</v>
      </c>
    </row>
    <row r="8" spans="1:9" x14ac:dyDescent="0.3">
      <c r="B8" t="s">
        <v>553</v>
      </c>
      <c r="D8" s="15">
        <v>31</v>
      </c>
      <c r="G8" t="s">
        <v>559</v>
      </c>
      <c r="I8">
        <v>-43</v>
      </c>
    </row>
    <row r="9" spans="1:9" x14ac:dyDescent="0.3">
      <c r="B9" t="s">
        <v>554</v>
      </c>
      <c r="D9" s="15">
        <v>98</v>
      </c>
      <c r="G9" t="s">
        <v>560</v>
      </c>
      <c r="I9">
        <f>-D10</f>
        <v>18</v>
      </c>
    </row>
    <row r="10" spans="1:9" ht="15" thickBot="1" x14ac:dyDescent="0.35">
      <c r="B10" t="s">
        <v>555</v>
      </c>
      <c r="D10" s="15">
        <v>-18</v>
      </c>
      <c r="H10" s="8" t="s">
        <v>562</v>
      </c>
      <c r="I10" s="20">
        <f>SUM(I3:I9)</f>
        <v>636.9</v>
      </c>
    </row>
    <row r="11" spans="1:9" ht="15" thickTop="1" x14ac:dyDescent="0.3">
      <c r="B11" t="s">
        <v>453</v>
      </c>
      <c r="D11">
        <v>-56</v>
      </c>
    </row>
    <row r="12" spans="1:9" x14ac:dyDescent="0.3">
      <c r="B12" t="s">
        <v>454</v>
      </c>
      <c r="D12">
        <v>12</v>
      </c>
    </row>
    <row r="13" spans="1:9" x14ac:dyDescent="0.3">
      <c r="B13" s="17" t="s">
        <v>392</v>
      </c>
      <c r="C13" s="17"/>
      <c r="D13" s="17">
        <f>D7+D8+D9+D10+D11+D12</f>
        <v>497</v>
      </c>
    </row>
    <row r="14" spans="1:9" x14ac:dyDescent="0.3">
      <c r="B14" t="s">
        <v>556</v>
      </c>
      <c r="D14" s="19">
        <f>D13*0.3-15</f>
        <v>134.1</v>
      </c>
    </row>
    <row r="15" spans="1:9" x14ac:dyDescent="0.3">
      <c r="B15" t="s">
        <v>557</v>
      </c>
      <c r="D15" s="15">
        <v>15</v>
      </c>
    </row>
    <row r="16" spans="1:9" ht="15" thickBot="1" x14ac:dyDescent="0.35">
      <c r="B16" s="8" t="s">
        <v>302</v>
      </c>
      <c r="C16" s="8"/>
      <c r="D16" s="20">
        <f>D13-D14-D15</f>
        <v>347.9</v>
      </c>
    </row>
    <row r="17" ht="15" thickTop="1" x14ac:dyDescent="0.3"/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workbookViewId="0">
      <selection activeCell="H12" sqref="H12"/>
    </sheetView>
  </sheetViews>
  <sheetFormatPr defaultRowHeight="14.4" x14ac:dyDescent="0.3"/>
  <sheetData>
    <row r="2" spans="3:9" x14ac:dyDescent="0.3">
      <c r="C2" t="s">
        <v>367</v>
      </c>
      <c r="E2" s="2" t="s">
        <v>368</v>
      </c>
      <c r="G2" s="2" t="s">
        <v>369</v>
      </c>
      <c r="I2" s="2" t="s">
        <v>370</v>
      </c>
    </row>
    <row r="4" spans="3:9" x14ac:dyDescent="0.3">
      <c r="C4" t="s">
        <v>8</v>
      </c>
      <c r="E4">
        <v>1000</v>
      </c>
      <c r="G4">
        <v>1000</v>
      </c>
      <c r="I4">
        <v>1000</v>
      </c>
    </row>
    <row r="6" spans="3:9" x14ac:dyDescent="0.3">
      <c r="C6" t="s">
        <v>364</v>
      </c>
      <c r="E6">
        <v>600</v>
      </c>
      <c r="G6">
        <v>300</v>
      </c>
      <c r="I6">
        <v>100</v>
      </c>
    </row>
    <row r="7" spans="3:9" x14ac:dyDescent="0.3">
      <c r="C7" t="s">
        <v>365</v>
      </c>
      <c r="E7">
        <v>200</v>
      </c>
      <c r="G7">
        <v>500</v>
      </c>
      <c r="I7">
        <v>200</v>
      </c>
    </row>
    <row r="9" spans="3:9" x14ac:dyDescent="0.3">
      <c r="C9" s="17" t="s">
        <v>366</v>
      </c>
      <c r="D9" s="17"/>
      <c r="E9" s="17">
        <f>E4-E6-E7</f>
        <v>200</v>
      </c>
      <c r="F9" s="17"/>
      <c r="G9" s="17">
        <f>G4-G6-G7</f>
        <v>200</v>
      </c>
      <c r="H9" s="17"/>
      <c r="I9" s="17">
        <f>I4-I6-I7</f>
        <v>700</v>
      </c>
    </row>
    <row r="11" spans="3:9" x14ac:dyDescent="0.3">
      <c r="C11" t="s">
        <v>277</v>
      </c>
      <c r="E11">
        <v>100</v>
      </c>
      <c r="G11">
        <v>100</v>
      </c>
      <c r="I11">
        <v>500</v>
      </c>
    </row>
    <row r="13" spans="3:9" ht="15" thickBot="1" x14ac:dyDescent="0.35">
      <c r="C13" s="8" t="s">
        <v>302</v>
      </c>
      <c r="D13" s="8"/>
      <c r="E13" s="8">
        <f>E9-E11</f>
        <v>100</v>
      </c>
      <c r="F13" s="8"/>
      <c r="G13" s="8">
        <f>G9-G11</f>
        <v>100</v>
      </c>
      <c r="H13" s="8"/>
      <c r="I13" s="8">
        <f>I9-I11</f>
        <v>200</v>
      </c>
    </row>
    <row r="14" spans="3:9" ht="15" thickTop="1" x14ac:dyDescent="0.3"/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6"/>
  <sheetViews>
    <sheetView topLeftCell="D1"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5" max="15" width="14" customWidth="1"/>
    <col min="16" max="17" width="2" customWidth="1"/>
    <col min="18" max="18" width="20" customWidth="1"/>
  </cols>
  <sheetData>
    <row r="2" spans="1:20" x14ac:dyDescent="0.3">
      <c r="A2" s="90" t="s">
        <v>7</v>
      </c>
      <c r="F2" s="90" t="s">
        <v>14</v>
      </c>
      <c r="K2" s="90" t="s">
        <v>563</v>
      </c>
      <c r="P2" s="90" t="s">
        <v>569</v>
      </c>
    </row>
    <row r="3" spans="1:20" x14ac:dyDescent="0.3">
      <c r="B3" t="s">
        <v>8</v>
      </c>
      <c r="D3">
        <v>1650</v>
      </c>
      <c r="G3" t="s">
        <v>302</v>
      </c>
      <c r="I3" s="19">
        <f>D16</f>
        <v>347.9</v>
      </c>
      <c r="L3" t="s">
        <v>302</v>
      </c>
      <c r="N3" s="19">
        <f>D16</f>
        <v>347.9</v>
      </c>
      <c r="Q3" t="s">
        <v>8</v>
      </c>
      <c r="S3">
        <f>D3</f>
        <v>1650</v>
      </c>
    </row>
    <row r="4" spans="1:20" x14ac:dyDescent="0.3">
      <c r="B4" t="s">
        <v>552</v>
      </c>
      <c r="D4">
        <v>890</v>
      </c>
      <c r="G4" t="s">
        <v>26</v>
      </c>
      <c r="I4">
        <f>D5</f>
        <v>280</v>
      </c>
      <c r="L4" t="s">
        <v>26</v>
      </c>
      <c r="N4">
        <f>I4</f>
        <v>280</v>
      </c>
      <c r="Q4" t="s">
        <v>552</v>
      </c>
      <c r="S4">
        <f>D4</f>
        <v>890</v>
      </c>
    </row>
    <row r="5" spans="1:20" x14ac:dyDescent="0.3">
      <c r="B5" t="s">
        <v>24</v>
      </c>
      <c r="D5">
        <v>280</v>
      </c>
      <c r="G5" t="s">
        <v>561</v>
      </c>
      <c r="I5">
        <f>D15</f>
        <v>15</v>
      </c>
      <c r="L5" t="s">
        <v>564</v>
      </c>
      <c r="N5">
        <f>D6</f>
        <v>50</v>
      </c>
      <c r="Q5" t="s">
        <v>570</v>
      </c>
      <c r="S5">
        <f>D9+I8</f>
        <v>55</v>
      </c>
    </row>
    <row r="6" spans="1:20" ht="15" thickBot="1" x14ac:dyDescent="0.35">
      <c r="B6" t="s">
        <v>452</v>
      </c>
      <c r="D6">
        <v>50</v>
      </c>
      <c r="G6" t="s">
        <v>455</v>
      </c>
      <c r="I6">
        <f>D6</f>
        <v>50</v>
      </c>
      <c r="L6" t="s">
        <v>567</v>
      </c>
      <c r="N6">
        <f>-D8</f>
        <v>-31</v>
      </c>
      <c r="R6" s="8" t="s">
        <v>571</v>
      </c>
      <c r="S6" s="8">
        <f>S3-S4+S5</f>
        <v>815</v>
      </c>
    </row>
    <row r="7" spans="1:20" ht="15" thickTop="1" x14ac:dyDescent="0.3">
      <c r="B7" s="17" t="s">
        <v>73</v>
      </c>
      <c r="C7" s="17"/>
      <c r="D7" s="17">
        <f>D3-D4-D5-D6</f>
        <v>430</v>
      </c>
      <c r="G7" t="s">
        <v>558</v>
      </c>
      <c r="I7">
        <f>-D8</f>
        <v>-31</v>
      </c>
      <c r="L7" t="s">
        <v>568</v>
      </c>
      <c r="N7">
        <f>I8</f>
        <v>-43</v>
      </c>
    </row>
    <row r="8" spans="1:20" x14ac:dyDescent="0.3">
      <c r="B8" t="s">
        <v>553</v>
      </c>
      <c r="D8" s="15">
        <v>31</v>
      </c>
      <c r="G8" t="s">
        <v>559</v>
      </c>
      <c r="I8">
        <v>-43</v>
      </c>
      <c r="L8" t="s">
        <v>565</v>
      </c>
      <c r="N8">
        <f>I9</f>
        <v>18</v>
      </c>
      <c r="S8" s="19">
        <f>S6-N12</f>
        <v>0</v>
      </c>
    </row>
    <row r="9" spans="1:20" x14ac:dyDescent="0.3">
      <c r="B9" t="s">
        <v>554</v>
      </c>
      <c r="D9" s="15">
        <v>98</v>
      </c>
      <c r="G9" t="s">
        <v>560</v>
      </c>
      <c r="I9">
        <f>-D10</f>
        <v>18</v>
      </c>
      <c r="L9" t="s">
        <v>390</v>
      </c>
      <c r="N9">
        <f>-D11</f>
        <v>56</v>
      </c>
    </row>
    <row r="10" spans="1:20" ht="15" thickBot="1" x14ac:dyDescent="0.35">
      <c r="B10" t="s">
        <v>555</v>
      </c>
      <c r="D10" s="15">
        <v>-18</v>
      </c>
      <c r="H10" s="8" t="s">
        <v>562</v>
      </c>
      <c r="I10" s="20">
        <f>SUM(I3:I9)</f>
        <v>636.9</v>
      </c>
      <c r="L10" t="s">
        <v>391</v>
      </c>
      <c r="N10">
        <f>-D12</f>
        <v>-12</v>
      </c>
    </row>
    <row r="11" spans="1:20" ht="15" thickTop="1" x14ac:dyDescent="0.3">
      <c r="B11" t="s">
        <v>453</v>
      </c>
      <c r="D11">
        <v>-56</v>
      </c>
      <c r="L11" t="s">
        <v>566</v>
      </c>
      <c r="N11" s="19">
        <f>D14+D15</f>
        <v>149.1</v>
      </c>
    </row>
    <row r="12" spans="1:20" ht="15" thickBot="1" x14ac:dyDescent="0.35">
      <c r="B12" t="s">
        <v>454</v>
      </c>
      <c r="D12">
        <v>12</v>
      </c>
      <c r="M12" s="8" t="s">
        <v>34</v>
      </c>
      <c r="N12" s="20">
        <f>SUM(N3:N11)</f>
        <v>815</v>
      </c>
    </row>
    <row r="13" spans="1:20" ht="15" thickTop="1" x14ac:dyDescent="0.3">
      <c r="B13" s="17" t="s">
        <v>392</v>
      </c>
      <c r="C13" s="17"/>
      <c r="D13" s="17">
        <f>D7+D8+D9+D10+D11+D12</f>
        <v>497</v>
      </c>
    </row>
    <row r="14" spans="1:20" x14ac:dyDescent="0.3">
      <c r="B14" t="s">
        <v>556</v>
      </c>
      <c r="D14" s="19">
        <f>D13*0.3-15</f>
        <v>134.1</v>
      </c>
    </row>
    <row r="15" spans="1:20" x14ac:dyDescent="0.3">
      <c r="B15" t="s">
        <v>557</v>
      </c>
      <c r="D15" s="15">
        <v>15</v>
      </c>
      <c r="K15" s="90" t="s">
        <v>573</v>
      </c>
      <c r="P15" s="90" t="s">
        <v>577</v>
      </c>
    </row>
    <row r="16" spans="1:20" ht="15" thickBot="1" x14ac:dyDescent="0.35">
      <c r="B16" s="8" t="s">
        <v>302</v>
      </c>
      <c r="C16" s="8"/>
      <c r="D16" s="20">
        <f>D13-D14-D15</f>
        <v>347.9</v>
      </c>
      <c r="L16" t="s">
        <v>302</v>
      </c>
      <c r="N16" s="19">
        <f>I3</f>
        <v>347.9</v>
      </c>
      <c r="O16" t="str">
        <f ca="1">_xlfn.FORMULATEXT(N16)</f>
        <v>=I3</v>
      </c>
      <c r="Q16" t="s">
        <v>8</v>
      </c>
      <c r="S16" s="19">
        <f>S3</f>
        <v>1650</v>
      </c>
      <c r="T16" t="str">
        <f ca="1">_xlfn.FORMULATEXT(S16)</f>
        <v>=S3</v>
      </c>
    </row>
    <row r="17" spans="12:20" ht="15" thickTop="1" x14ac:dyDescent="0.3">
      <c r="L17" t="s">
        <v>26</v>
      </c>
      <c r="N17">
        <f>I4</f>
        <v>280</v>
      </c>
      <c r="O17" t="str">
        <f t="shared" ref="O17:O25" ca="1" si="0">_xlfn.FORMULATEXT(N17)</f>
        <v>=I4</v>
      </c>
      <c r="Q17" t="s">
        <v>552</v>
      </c>
      <c r="S17">
        <f>D4</f>
        <v>890</v>
      </c>
      <c r="T17" t="str">
        <f t="shared" ref="T17:T21" ca="1" si="1">_xlfn.FORMULATEXT(S17)</f>
        <v>=D4</v>
      </c>
    </row>
    <row r="18" spans="12:20" x14ac:dyDescent="0.3">
      <c r="L18" t="s">
        <v>564</v>
      </c>
      <c r="N18">
        <f>I6</f>
        <v>50</v>
      </c>
      <c r="O18" t="str">
        <f t="shared" ca="1" si="0"/>
        <v>=I6</v>
      </c>
      <c r="Q18" t="s">
        <v>570</v>
      </c>
      <c r="S18">
        <f>S5</f>
        <v>55</v>
      </c>
      <c r="T18" t="str">
        <f t="shared" ca="1" si="1"/>
        <v>=S5</v>
      </c>
    </row>
    <row r="19" spans="12:20" x14ac:dyDescent="0.3">
      <c r="L19" t="s">
        <v>567</v>
      </c>
      <c r="N19">
        <f t="shared" ref="N19:N21" si="2">I7</f>
        <v>-31</v>
      </c>
      <c r="O19" t="str">
        <f t="shared" ca="1" si="0"/>
        <v>=I7</v>
      </c>
      <c r="Q19" t="s">
        <v>453</v>
      </c>
      <c r="S19">
        <f>-D11</f>
        <v>56</v>
      </c>
      <c r="T19" t="str">
        <f t="shared" ca="1" si="1"/>
        <v>=-D11</v>
      </c>
    </row>
    <row r="20" spans="12:20" x14ac:dyDescent="0.3">
      <c r="L20" t="s">
        <v>568</v>
      </c>
      <c r="N20">
        <f t="shared" si="2"/>
        <v>-43</v>
      </c>
      <c r="O20" t="str">
        <f t="shared" ca="1" si="0"/>
        <v>=I8</v>
      </c>
      <c r="Q20" t="s">
        <v>574</v>
      </c>
      <c r="S20" s="19">
        <f>D14</f>
        <v>134.1</v>
      </c>
      <c r="T20" t="str">
        <f t="shared" ca="1" si="1"/>
        <v>=D14</v>
      </c>
    </row>
    <row r="21" spans="12:20" ht="15" thickBot="1" x14ac:dyDescent="0.35">
      <c r="L21" t="s">
        <v>565</v>
      </c>
      <c r="N21">
        <f t="shared" si="2"/>
        <v>18</v>
      </c>
      <c r="O21" t="str">
        <f t="shared" ca="1" si="0"/>
        <v>=I9</v>
      </c>
      <c r="R21" s="8" t="s">
        <v>575</v>
      </c>
      <c r="S21" s="20">
        <f>S16-S17+S18-S19-S20</f>
        <v>624.9</v>
      </c>
      <c r="T21" t="str">
        <f t="shared" ca="1" si="1"/>
        <v>=S16-S17+S18-S19-S20</v>
      </c>
    </row>
    <row r="22" spans="12:20" ht="15" thickTop="1" x14ac:dyDescent="0.3">
      <c r="L22" t="s">
        <v>390</v>
      </c>
    </row>
    <row r="23" spans="12:20" x14ac:dyDescent="0.3">
      <c r="L23" t="s">
        <v>391</v>
      </c>
      <c r="N23">
        <f t="shared" ref="N23" si="3">N10</f>
        <v>-12</v>
      </c>
      <c r="O23" t="str">
        <f t="shared" ca="1" si="0"/>
        <v>=N10</v>
      </c>
    </row>
    <row r="24" spans="12:20" x14ac:dyDescent="0.3">
      <c r="L24" t="s">
        <v>576</v>
      </c>
      <c r="N24" s="19">
        <f>D15</f>
        <v>15</v>
      </c>
      <c r="O24" t="str">
        <f t="shared" ca="1" si="0"/>
        <v>=D15</v>
      </c>
    </row>
    <row r="25" spans="12:20" ht="15" thickBot="1" x14ac:dyDescent="0.35">
      <c r="M25" s="8" t="s">
        <v>575</v>
      </c>
      <c r="N25" s="20">
        <f>SUM(N16:N24)</f>
        <v>624.9</v>
      </c>
      <c r="O25" t="str">
        <f t="shared" ca="1" si="0"/>
        <v>=SUM(N16:N24)</v>
      </c>
    </row>
    <row r="26" spans="12:20" ht="15" thickTop="1" x14ac:dyDescent="0.3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9"/>
  <sheetViews>
    <sheetView zoomScale="80" zoomScaleNormal="80" workbookViewId="0">
      <selection activeCell="M5" sqref="M5"/>
    </sheetView>
  </sheetViews>
  <sheetFormatPr defaultRowHeight="14.4" x14ac:dyDescent="0.3"/>
  <cols>
    <col min="2" max="2" width="26.5546875" customWidth="1"/>
    <col min="4" max="4" width="9.21875" bestFit="1" customWidth="1"/>
    <col min="5" max="5" width="9.6640625" bestFit="1" customWidth="1"/>
    <col min="6" max="7" width="9.5546875" customWidth="1"/>
    <col min="8" max="8" width="16.77734375" customWidth="1"/>
    <col min="12" max="12" width="9.21875" customWidth="1"/>
  </cols>
  <sheetData>
    <row r="1" spans="2:19" x14ac:dyDescent="0.3">
      <c r="D1" s="2" t="s">
        <v>22</v>
      </c>
      <c r="E1" s="2" t="s">
        <v>23</v>
      </c>
      <c r="F1" s="2" t="s">
        <v>23</v>
      </c>
      <c r="G1" s="2"/>
      <c r="I1" s="2" t="s">
        <v>328</v>
      </c>
      <c r="J1" s="2" t="s">
        <v>329</v>
      </c>
      <c r="K1" s="2" t="s">
        <v>328</v>
      </c>
    </row>
    <row r="2" spans="2:19" x14ac:dyDescent="0.3">
      <c r="B2" t="s">
        <v>2</v>
      </c>
      <c r="D2">
        <v>300</v>
      </c>
      <c r="E2">
        <f>D9</f>
        <v>75</v>
      </c>
      <c r="F2">
        <f>E9</f>
        <v>-50</v>
      </c>
      <c r="H2" t="s">
        <v>36</v>
      </c>
      <c r="I2">
        <v>250</v>
      </c>
      <c r="J2">
        <v>4</v>
      </c>
      <c r="K2">
        <f>-D6/4</f>
        <v>62.5</v>
      </c>
    </row>
    <row r="4" spans="2:19" x14ac:dyDescent="0.3">
      <c r="B4" t="s">
        <v>0</v>
      </c>
      <c r="D4">
        <v>200</v>
      </c>
      <c r="E4">
        <v>400</v>
      </c>
      <c r="F4" s="70">
        <v>600</v>
      </c>
      <c r="H4" t="s">
        <v>83</v>
      </c>
    </row>
    <row r="5" spans="2:19" x14ac:dyDescent="0.3">
      <c r="B5" t="s">
        <v>1</v>
      </c>
      <c r="D5">
        <v>-100</v>
      </c>
      <c r="E5">
        <v>-200</v>
      </c>
      <c r="F5" s="31">
        <f>-300+65</f>
        <v>-235</v>
      </c>
      <c r="H5" t="s">
        <v>320</v>
      </c>
      <c r="J5" s="16">
        <f>I10</f>
        <v>0</v>
      </c>
      <c r="K5" s="16">
        <f>J8</f>
        <v>250</v>
      </c>
      <c r="L5" s="16">
        <f>K8</f>
        <v>500</v>
      </c>
    </row>
    <row r="6" spans="2:19" x14ac:dyDescent="0.3">
      <c r="B6" t="s">
        <v>18</v>
      </c>
      <c r="D6">
        <v>-250</v>
      </c>
      <c r="E6">
        <v>-250</v>
      </c>
      <c r="F6" s="70">
        <v>-300</v>
      </c>
      <c r="H6" t="s">
        <v>84</v>
      </c>
      <c r="J6" s="16">
        <f>-D6</f>
        <v>250</v>
      </c>
      <c r="K6" s="16">
        <f>-E6</f>
        <v>250</v>
      </c>
      <c r="L6" s="16">
        <f>-F6</f>
        <v>300</v>
      </c>
    </row>
    <row r="7" spans="2:19" x14ac:dyDescent="0.3">
      <c r="B7" t="s">
        <v>13</v>
      </c>
      <c r="D7">
        <v>-75</v>
      </c>
      <c r="E7">
        <v>-75</v>
      </c>
      <c r="F7">
        <v>-75</v>
      </c>
      <c r="H7" t="s">
        <v>330</v>
      </c>
      <c r="J7" s="16"/>
      <c r="K7" s="16"/>
      <c r="L7" s="16"/>
    </row>
    <row r="8" spans="2:19" x14ac:dyDescent="0.3">
      <c r="B8" t="s">
        <v>331</v>
      </c>
      <c r="F8" s="31">
        <f>S12</f>
        <v>-65</v>
      </c>
      <c r="H8" s="17" t="s">
        <v>79</v>
      </c>
      <c r="I8" s="17"/>
      <c r="J8" s="67">
        <f>J5+J6</f>
        <v>250</v>
      </c>
      <c r="K8" s="67">
        <f>K5+K6+K7</f>
        <v>500</v>
      </c>
      <c r="L8" s="67">
        <f>L5+L6</f>
        <v>800</v>
      </c>
    </row>
    <row r="9" spans="2:19" x14ac:dyDescent="0.3">
      <c r="B9" t="s">
        <v>3</v>
      </c>
      <c r="D9">
        <f>SUM(D2:D8)</f>
        <v>75</v>
      </c>
      <c r="E9">
        <f>SUM(E2:E8)</f>
        <v>-50</v>
      </c>
      <c r="F9">
        <f>SUM(F2:F8)</f>
        <v>-125</v>
      </c>
      <c r="J9" s="16"/>
      <c r="K9" s="16"/>
      <c r="L9" s="16"/>
      <c r="P9" t="s">
        <v>332</v>
      </c>
      <c r="R9" s="2" t="s">
        <v>335</v>
      </c>
      <c r="S9" t="s">
        <v>336</v>
      </c>
    </row>
    <row r="10" spans="2:19" ht="15" thickBot="1" x14ac:dyDescent="0.35">
      <c r="B10" s="1" t="s">
        <v>28</v>
      </c>
      <c r="C10" s="1"/>
      <c r="D10" s="1">
        <f>D9-D2</f>
        <v>-225</v>
      </c>
      <c r="E10" s="1">
        <f>E9-E2</f>
        <v>-125</v>
      </c>
      <c r="F10" s="1">
        <f>F9-F2</f>
        <v>-75</v>
      </c>
      <c r="G10" s="6"/>
      <c r="H10" t="s">
        <v>36</v>
      </c>
      <c r="J10" s="16"/>
      <c r="K10" s="16"/>
      <c r="L10" s="16"/>
      <c r="P10" t="s">
        <v>333</v>
      </c>
      <c r="R10">
        <v>1</v>
      </c>
      <c r="S10">
        <v>-20</v>
      </c>
    </row>
    <row r="11" spans="2:19" x14ac:dyDescent="0.3">
      <c r="H11" t="s">
        <v>321</v>
      </c>
      <c r="J11" s="16"/>
      <c r="K11" s="16"/>
      <c r="L11" s="16"/>
      <c r="P11" t="s">
        <v>333</v>
      </c>
      <c r="R11">
        <v>2</v>
      </c>
      <c r="S11">
        <v>-40</v>
      </c>
    </row>
    <row r="12" spans="2:19" x14ac:dyDescent="0.3">
      <c r="B12" t="s">
        <v>4</v>
      </c>
      <c r="C12" s="2" t="s">
        <v>29</v>
      </c>
      <c r="D12" s="2" t="s">
        <v>30</v>
      </c>
      <c r="E12" s="2" t="s">
        <v>31</v>
      </c>
      <c r="F12" s="2" t="s">
        <v>31</v>
      </c>
      <c r="G12" s="2"/>
      <c r="H12" t="s">
        <v>77</v>
      </c>
      <c r="J12" s="16">
        <f>I14</f>
        <v>0</v>
      </c>
      <c r="K12" s="16">
        <f>J14</f>
        <v>62.5</v>
      </c>
      <c r="L12" s="16">
        <f>K14</f>
        <v>187.5</v>
      </c>
      <c r="P12" t="s">
        <v>334</v>
      </c>
      <c r="R12">
        <v>3</v>
      </c>
      <c r="S12">
        <v>-65</v>
      </c>
    </row>
    <row r="13" spans="2:19" x14ac:dyDescent="0.3">
      <c r="B13" t="s">
        <v>5</v>
      </c>
      <c r="C13">
        <v>300</v>
      </c>
      <c r="D13" s="19">
        <f>D9</f>
        <v>75</v>
      </c>
      <c r="E13" s="19">
        <f>E9</f>
        <v>-50</v>
      </c>
      <c r="F13" s="19">
        <f>F9</f>
        <v>-125</v>
      </c>
      <c r="H13" t="s">
        <v>89</v>
      </c>
      <c r="J13" s="16">
        <f>-D24</f>
        <v>62.5</v>
      </c>
      <c r="K13" s="16">
        <f>-E24</f>
        <v>125</v>
      </c>
      <c r="L13" s="16">
        <f>-F24</f>
        <v>154.16666666666666</v>
      </c>
    </row>
    <row r="14" spans="2:19" x14ac:dyDescent="0.3">
      <c r="B14" t="s">
        <v>40</v>
      </c>
      <c r="D14" s="19">
        <f>J8</f>
        <v>250</v>
      </c>
      <c r="E14" s="19">
        <f>K8</f>
        <v>500</v>
      </c>
      <c r="F14" s="19">
        <f>L8</f>
        <v>800</v>
      </c>
      <c r="H14" s="17" t="s">
        <v>322</v>
      </c>
      <c r="I14" s="17"/>
      <c r="J14" s="67">
        <f>SUM(J12:J13)</f>
        <v>62.5</v>
      </c>
      <c r="K14" s="67">
        <f>SUM(K12:K13)</f>
        <v>187.5</v>
      </c>
      <c r="L14" s="67">
        <f>SUM(L12:L13)</f>
        <v>341.66666666666663</v>
      </c>
    </row>
    <row r="15" spans="2:19" x14ac:dyDescent="0.3">
      <c r="B15" t="s">
        <v>41</v>
      </c>
      <c r="C15">
        <v>0</v>
      </c>
      <c r="D15" s="19">
        <f>C15-D24</f>
        <v>62.5</v>
      </c>
      <c r="E15" s="19">
        <f>D15-E24</f>
        <v>187.5</v>
      </c>
      <c r="F15" s="19">
        <f>E15-F24</f>
        <v>341.66666666666663</v>
      </c>
      <c r="G15" s="5"/>
      <c r="J15" s="16"/>
      <c r="K15" s="16"/>
      <c r="L15" s="16"/>
    </row>
    <row r="16" spans="2:19" x14ac:dyDescent="0.3">
      <c r="B16" s="17" t="s">
        <v>91</v>
      </c>
      <c r="C16" s="17">
        <f>C14-C15</f>
        <v>0</v>
      </c>
      <c r="D16" s="59">
        <f>D14-D15</f>
        <v>187.5</v>
      </c>
      <c r="E16" s="59">
        <f>E14-E15</f>
        <v>312.5</v>
      </c>
      <c r="F16" s="59">
        <f>F14-F15</f>
        <v>458.33333333333337</v>
      </c>
      <c r="G16" s="6"/>
      <c r="H16" t="s">
        <v>260</v>
      </c>
      <c r="J16" s="16"/>
      <c r="K16" s="16"/>
      <c r="L16" s="16"/>
    </row>
    <row r="17" spans="2:12" x14ac:dyDescent="0.3">
      <c r="B17" s="15" t="s">
        <v>337</v>
      </c>
      <c r="F17">
        <v>0</v>
      </c>
      <c r="G17" s="6"/>
      <c r="H17" t="s">
        <v>77</v>
      </c>
      <c r="J17" s="16">
        <f>I20</f>
        <v>300</v>
      </c>
      <c r="K17" s="16">
        <f>J20</f>
        <v>262.5</v>
      </c>
      <c r="L17" s="16">
        <f>K20</f>
        <v>262.5</v>
      </c>
    </row>
    <row r="18" spans="2:12" x14ac:dyDescent="0.3">
      <c r="B18" s="10" t="s">
        <v>323</v>
      </c>
      <c r="C18" s="11">
        <f>SUM(C13:C15)</f>
        <v>300</v>
      </c>
      <c r="D18" s="65">
        <f>D13+D14-D15+D17</f>
        <v>262.5</v>
      </c>
      <c r="E18" s="65">
        <f>E13+E14-E15+E17</f>
        <v>262.5</v>
      </c>
      <c r="F18" s="65">
        <f>F13+F14-F15+F17</f>
        <v>333.33333333333337</v>
      </c>
      <c r="H18" t="s">
        <v>261</v>
      </c>
      <c r="J18" s="16">
        <f>D27</f>
        <v>37.5</v>
      </c>
      <c r="K18" s="16">
        <f>E27</f>
        <v>75</v>
      </c>
      <c r="L18" s="16">
        <f>F27</f>
        <v>145.83333333333334</v>
      </c>
    </row>
    <row r="19" spans="2:12" ht="15" thickBot="1" x14ac:dyDescent="0.35">
      <c r="B19" s="8" t="s">
        <v>324</v>
      </c>
      <c r="C19" s="8">
        <v>300</v>
      </c>
      <c r="D19" s="20">
        <f>J20</f>
        <v>262.5</v>
      </c>
      <c r="E19" s="20">
        <f>K20</f>
        <v>262.5</v>
      </c>
      <c r="F19" s="20">
        <f>L20</f>
        <v>333.33333333333337</v>
      </c>
      <c r="G19" s="2"/>
      <c r="H19" t="s">
        <v>262</v>
      </c>
      <c r="J19" s="16">
        <f>-D33</f>
        <v>75</v>
      </c>
      <c r="K19" s="16">
        <f>-E33</f>
        <v>75</v>
      </c>
      <c r="L19" s="16">
        <f>-F33</f>
        <v>75</v>
      </c>
    </row>
    <row r="20" spans="2:12" ht="15" thickTop="1" x14ac:dyDescent="0.3">
      <c r="D20" s="19"/>
      <c r="E20" s="19"/>
      <c r="F20" s="19"/>
      <c r="H20" s="17" t="s">
        <v>79</v>
      </c>
      <c r="I20" s="17">
        <f>C19</f>
        <v>300</v>
      </c>
      <c r="J20" s="67">
        <f>J17+J18-J19</f>
        <v>262.5</v>
      </c>
      <c r="K20" s="67">
        <f>K17+K18-K19</f>
        <v>262.5</v>
      </c>
      <c r="L20" s="67">
        <f>L17+L18-L19</f>
        <v>333.33333333333337</v>
      </c>
    </row>
    <row r="21" spans="2:12" x14ac:dyDescent="0.3">
      <c r="B21" t="s">
        <v>7</v>
      </c>
      <c r="D21" s="66" t="s">
        <v>22</v>
      </c>
      <c r="E21" s="66" t="s">
        <v>23</v>
      </c>
      <c r="F21" s="66" t="s">
        <v>23</v>
      </c>
      <c r="J21" s="16"/>
      <c r="K21" s="16"/>
      <c r="L21" s="16"/>
    </row>
    <row r="22" spans="2:12" x14ac:dyDescent="0.3">
      <c r="B22" t="s">
        <v>8</v>
      </c>
      <c r="D22" s="19">
        <v>200</v>
      </c>
      <c r="E22" s="19">
        <f>E4</f>
        <v>400</v>
      </c>
      <c r="F22" s="19">
        <f>F4</f>
        <v>600</v>
      </c>
      <c r="H22" t="s">
        <v>325</v>
      </c>
      <c r="I22" s="6"/>
      <c r="J22" s="68"/>
      <c r="K22" s="68"/>
      <c r="L22" s="16"/>
    </row>
    <row r="23" spans="2:12" x14ac:dyDescent="0.3">
      <c r="B23" t="s">
        <v>9</v>
      </c>
      <c r="D23" s="19">
        <f>D5</f>
        <v>-100</v>
      </c>
      <c r="E23" s="19">
        <f>E5</f>
        <v>-200</v>
      </c>
      <c r="F23" s="19">
        <f>F5</f>
        <v>-235</v>
      </c>
      <c r="G23" s="6"/>
      <c r="H23" s="15" t="s">
        <v>8</v>
      </c>
      <c r="J23" s="16">
        <f t="shared" ref="J23:L24" si="0">D22</f>
        <v>200</v>
      </c>
      <c r="K23" s="16">
        <f t="shared" si="0"/>
        <v>400</v>
      </c>
      <c r="L23" s="16">
        <f t="shared" si="0"/>
        <v>600</v>
      </c>
    </row>
    <row r="24" spans="2:12" x14ac:dyDescent="0.3">
      <c r="B24" t="s">
        <v>24</v>
      </c>
      <c r="D24" s="19">
        <f>-K2</f>
        <v>-62.5</v>
      </c>
      <c r="E24" s="19">
        <f>D24*2</f>
        <v>-125</v>
      </c>
      <c r="F24" s="19">
        <f>D24*3+100/3</f>
        <v>-154.16666666666666</v>
      </c>
      <c r="H24" s="15" t="s">
        <v>326</v>
      </c>
      <c r="J24" s="16">
        <f t="shared" si="0"/>
        <v>-100</v>
      </c>
      <c r="K24" s="16">
        <f t="shared" si="0"/>
        <v>-200</v>
      </c>
      <c r="L24" s="16">
        <f t="shared" si="0"/>
        <v>-235</v>
      </c>
    </row>
    <row r="25" spans="2:12" ht="15" thickBot="1" x14ac:dyDescent="0.35">
      <c r="B25" s="71"/>
      <c r="C25" s="71"/>
      <c r="D25" s="72"/>
      <c r="E25" s="72"/>
      <c r="F25" s="72"/>
      <c r="G25" s="2"/>
      <c r="H25" s="63" t="s">
        <v>34</v>
      </c>
      <c r="I25" s="8"/>
      <c r="J25" s="69">
        <f>J23+J24</f>
        <v>100</v>
      </c>
      <c r="K25" s="69">
        <f>K23+K24</f>
        <v>200</v>
      </c>
      <c r="L25" s="69">
        <f>L23+L24</f>
        <v>365</v>
      </c>
    </row>
    <row r="26" spans="2:12" ht="15" thickTop="1" x14ac:dyDescent="0.3">
      <c r="B26" s="71" t="s">
        <v>340</v>
      </c>
      <c r="C26" s="71"/>
      <c r="D26" s="71"/>
      <c r="E26" s="71"/>
      <c r="F26" s="71">
        <f>F8</f>
        <v>-65</v>
      </c>
      <c r="H26" s="15" t="s">
        <v>81</v>
      </c>
      <c r="I26" s="6"/>
      <c r="J26" s="16">
        <f>D6</f>
        <v>-250</v>
      </c>
      <c r="K26" s="16">
        <f>E6</f>
        <v>-250</v>
      </c>
      <c r="L26" s="16">
        <f>F6</f>
        <v>-300</v>
      </c>
    </row>
    <row r="27" spans="2:12" ht="15" thickBot="1" x14ac:dyDescent="0.35">
      <c r="B27" s="8" t="s">
        <v>302</v>
      </c>
      <c r="C27" s="8"/>
      <c r="D27" s="20">
        <f>D22+D23+D24+D25</f>
        <v>37.5</v>
      </c>
      <c r="E27" s="20">
        <f>E22+E23+E24+E25</f>
        <v>75</v>
      </c>
      <c r="F27" s="20">
        <f>F22+F23+F24+F25+F26</f>
        <v>145.83333333333334</v>
      </c>
      <c r="J27" s="16"/>
      <c r="K27" s="16"/>
      <c r="L27" s="16"/>
    </row>
    <row r="28" spans="2:12" ht="15" thickTop="1" x14ac:dyDescent="0.3">
      <c r="H28" s="6" t="s">
        <v>39</v>
      </c>
      <c r="J28" s="16"/>
      <c r="K28" s="16"/>
      <c r="L28" s="16"/>
    </row>
    <row r="29" spans="2:12" s="6" customFormat="1" x14ac:dyDescent="0.3">
      <c r="B29" t="s">
        <v>14</v>
      </c>
      <c r="C29"/>
      <c r="D29" s="66" t="s">
        <v>22</v>
      </c>
      <c r="E29" s="66" t="s">
        <v>23</v>
      </c>
      <c r="F29" s="66" t="s">
        <v>23</v>
      </c>
      <c r="H29" s="15" t="s">
        <v>302</v>
      </c>
      <c r="I29"/>
      <c r="J29" s="16">
        <f>D27</f>
        <v>37.5</v>
      </c>
      <c r="K29" s="16">
        <f>E27</f>
        <v>75</v>
      </c>
      <c r="L29" s="16">
        <f>F27</f>
        <v>145.83333333333334</v>
      </c>
    </row>
    <row r="30" spans="2:12" x14ac:dyDescent="0.3">
      <c r="B30" t="s">
        <v>15</v>
      </c>
      <c r="D30" s="19">
        <f>D27</f>
        <v>37.5</v>
      </c>
      <c r="E30" s="19">
        <f>E27</f>
        <v>75</v>
      </c>
      <c r="F30" s="19">
        <f>F27</f>
        <v>145.83333333333334</v>
      </c>
      <c r="G30" s="6"/>
      <c r="H30" t="s">
        <v>26</v>
      </c>
      <c r="J30" s="68">
        <f>-D24</f>
        <v>62.5</v>
      </c>
      <c r="K30" s="68">
        <f>-E24</f>
        <v>125</v>
      </c>
      <c r="L30" s="68">
        <f>-F24</f>
        <v>154.16666666666666</v>
      </c>
    </row>
    <row r="31" spans="2:12" ht="15" thickBot="1" x14ac:dyDescent="0.35">
      <c r="B31" t="s">
        <v>26</v>
      </c>
      <c r="D31" s="19">
        <f>K2</f>
        <v>62.5</v>
      </c>
      <c r="E31" s="19">
        <f>D31</f>
        <v>62.5</v>
      </c>
      <c r="F31" s="19">
        <f>E31</f>
        <v>62.5</v>
      </c>
      <c r="H31" s="8" t="s">
        <v>327</v>
      </c>
      <c r="I31" s="8"/>
      <c r="J31" s="69">
        <f>J29+J30</f>
        <v>100</v>
      </c>
      <c r="K31" s="69">
        <f>K29+K30</f>
        <v>200</v>
      </c>
      <c r="L31" s="69">
        <f>L29+L30</f>
        <v>300</v>
      </c>
    </row>
    <row r="32" spans="2:12" ht="15" thickTop="1" x14ac:dyDescent="0.3">
      <c r="B32" t="s">
        <v>27</v>
      </c>
      <c r="D32" s="19">
        <f t="shared" ref="D32:F33" si="1">D6</f>
        <v>-250</v>
      </c>
      <c r="E32" s="19">
        <f t="shared" si="1"/>
        <v>-250</v>
      </c>
      <c r="F32" s="19">
        <f t="shared" si="1"/>
        <v>-300</v>
      </c>
      <c r="H32" s="15" t="s">
        <v>81</v>
      </c>
      <c r="I32" s="6"/>
      <c r="J32" s="16">
        <f>D6</f>
        <v>-250</v>
      </c>
      <c r="K32" s="16">
        <f>E6</f>
        <v>-250</v>
      </c>
      <c r="L32" s="16">
        <f>F6</f>
        <v>-300</v>
      </c>
    </row>
    <row r="33" spans="2:6" x14ac:dyDescent="0.3">
      <c r="B33" s="6" t="s">
        <v>16</v>
      </c>
      <c r="C33" s="6"/>
      <c r="D33" s="62">
        <f t="shared" si="1"/>
        <v>-75</v>
      </c>
      <c r="E33" s="62">
        <f t="shared" si="1"/>
        <v>-75</v>
      </c>
      <c r="F33" s="62">
        <f t="shared" si="1"/>
        <v>-75</v>
      </c>
    </row>
    <row r="34" spans="2:6" ht="15" thickBot="1" x14ac:dyDescent="0.35">
      <c r="B34" s="8" t="s">
        <v>17</v>
      </c>
      <c r="C34" s="8"/>
      <c r="D34" s="20">
        <f>SUM(D30:D33)</f>
        <v>-225</v>
      </c>
      <c r="E34" s="20">
        <f>SUM(E30:E33)</f>
        <v>-187.5</v>
      </c>
      <c r="F34" s="20">
        <f>SUM(F30:F33)</f>
        <v>-166.66666666666666</v>
      </c>
    </row>
    <row r="35" spans="2:6" ht="15" thickTop="1" x14ac:dyDescent="0.3">
      <c r="B35" s="6"/>
      <c r="C35" s="6"/>
      <c r="D35" s="62"/>
      <c r="E35" s="62"/>
      <c r="F35" s="62"/>
    </row>
    <row r="36" spans="2:6" x14ac:dyDescent="0.3">
      <c r="B36" t="s">
        <v>10</v>
      </c>
    </row>
    <row r="37" spans="2:6" x14ac:dyDescent="0.3">
      <c r="B37" t="s">
        <v>11</v>
      </c>
      <c r="D37">
        <f>D19</f>
        <v>262.5</v>
      </c>
    </row>
    <row r="38" spans="2:6" x14ac:dyDescent="0.3">
      <c r="B38" t="s">
        <v>12</v>
      </c>
      <c r="D38">
        <f>-C19</f>
        <v>-300</v>
      </c>
    </row>
    <row r="39" spans="2:6" ht="15" thickBot="1" x14ac:dyDescent="0.35">
      <c r="B39" s="1" t="s">
        <v>10</v>
      </c>
      <c r="C39" s="1"/>
      <c r="D39" s="1">
        <f>D37+D38</f>
        <v>-37.5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6" max="17" width="2" customWidth="1"/>
    <col min="18" max="18" width="20" customWidth="1"/>
  </cols>
  <sheetData>
    <row r="2" spans="1:19" x14ac:dyDescent="0.3">
      <c r="A2" s="90" t="s">
        <v>7</v>
      </c>
      <c r="F2" s="90" t="s">
        <v>14</v>
      </c>
      <c r="K2" s="90" t="s">
        <v>563</v>
      </c>
      <c r="P2" s="90" t="s">
        <v>569</v>
      </c>
    </row>
    <row r="3" spans="1:19" x14ac:dyDescent="0.3">
      <c r="B3" t="s">
        <v>8</v>
      </c>
      <c r="D3">
        <v>1650</v>
      </c>
      <c r="G3" t="s">
        <v>302</v>
      </c>
      <c r="I3" s="19">
        <f>D16</f>
        <v>319.89999999999998</v>
      </c>
      <c r="L3" t="s">
        <v>302</v>
      </c>
      <c r="N3" s="19">
        <f>D16</f>
        <v>319.89999999999998</v>
      </c>
      <c r="Q3" t="s">
        <v>8</v>
      </c>
      <c r="S3">
        <f>D3</f>
        <v>1650</v>
      </c>
    </row>
    <row r="4" spans="1:19" x14ac:dyDescent="0.3">
      <c r="B4" t="s">
        <v>552</v>
      </c>
      <c r="D4">
        <v>890</v>
      </c>
      <c r="G4" t="s">
        <v>26</v>
      </c>
      <c r="I4">
        <f>D5</f>
        <v>320</v>
      </c>
      <c r="L4" t="s">
        <v>26</v>
      </c>
      <c r="N4">
        <f>D4</f>
        <v>890</v>
      </c>
      <c r="Q4" t="s">
        <v>552</v>
      </c>
      <c r="S4">
        <f>D4</f>
        <v>890</v>
      </c>
    </row>
    <row r="5" spans="1:19" x14ac:dyDescent="0.3">
      <c r="B5" t="s">
        <v>24</v>
      </c>
      <c r="D5">
        <v>320</v>
      </c>
      <c r="G5" t="s">
        <v>561</v>
      </c>
      <c r="I5">
        <f>D15</f>
        <v>15</v>
      </c>
      <c r="L5" t="s">
        <v>564</v>
      </c>
      <c r="N5">
        <f>D6</f>
        <v>50</v>
      </c>
      <c r="Q5" t="s">
        <v>570</v>
      </c>
      <c r="S5">
        <f>D9+I8</f>
        <v>55</v>
      </c>
    </row>
    <row r="6" spans="1:19" ht="15" thickBot="1" x14ac:dyDescent="0.35">
      <c r="B6" t="s">
        <v>452</v>
      </c>
      <c r="D6">
        <v>50</v>
      </c>
      <c r="G6" t="s">
        <v>455</v>
      </c>
      <c r="I6">
        <f>D6</f>
        <v>50</v>
      </c>
      <c r="L6" t="s">
        <v>567</v>
      </c>
      <c r="N6">
        <f>-D8</f>
        <v>-31</v>
      </c>
      <c r="R6" s="8" t="s">
        <v>571</v>
      </c>
      <c r="S6" s="8">
        <f>S3-S4+S5</f>
        <v>815</v>
      </c>
    </row>
    <row r="7" spans="1:19" ht="15" thickTop="1" x14ac:dyDescent="0.3">
      <c r="B7" s="17" t="s">
        <v>73</v>
      </c>
      <c r="C7" s="17"/>
      <c r="D7" s="17">
        <f>D3-D4-D5-D6</f>
        <v>390</v>
      </c>
      <c r="G7" t="s">
        <v>558</v>
      </c>
      <c r="I7">
        <f>-D8</f>
        <v>-31</v>
      </c>
      <c r="L7" t="s">
        <v>568</v>
      </c>
      <c r="N7">
        <f>I8</f>
        <v>-43</v>
      </c>
    </row>
    <row r="8" spans="1:19" x14ac:dyDescent="0.3">
      <c r="B8" t="s">
        <v>553</v>
      </c>
      <c r="D8" s="15">
        <v>31</v>
      </c>
      <c r="G8" t="s">
        <v>559</v>
      </c>
      <c r="I8">
        <v>-43</v>
      </c>
      <c r="L8" t="s">
        <v>565</v>
      </c>
      <c r="N8">
        <f>I9</f>
        <v>18</v>
      </c>
      <c r="S8" s="19">
        <f>S6-N12</f>
        <v>-570</v>
      </c>
    </row>
    <row r="9" spans="1:19" x14ac:dyDescent="0.3">
      <c r="B9" t="s">
        <v>554</v>
      </c>
      <c r="D9" s="15">
        <v>98</v>
      </c>
      <c r="G9" t="s">
        <v>560</v>
      </c>
      <c r="I9">
        <f>-D10</f>
        <v>18</v>
      </c>
      <c r="L9" t="s">
        <v>390</v>
      </c>
      <c r="N9">
        <f>-D11</f>
        <v>56</v>
      </c>
    </row>
    <row r="10" spans="1:19" ht="15" thickBot="1" x14ac:dyDescent="0.35">
      <c r="B10" t="s">
        <v>555</v>
      </c>
      <c r="D10" s="15">
        <v>-18</v>
      </c>
      <c r="H10" s="8" t="s">
        <v>562</v>
      </c>
      <c r="I10" s="20">
        <f>SUM(I3:I9)</f>
        <v>648.9</v>
      </c>
      <c r="L10" t="s">
        <v>391</v>
      </c>
      <c r="N10">
        <f>-D12</f>
        <v>-12</v>
      </c>
    </row>
    <row r="11" spans="1:19" ht="15" thickTop="1" x14ac:dyDescent="0.3">
      <c r="B11" t="s">
        <v>453</v>
      </c>
      <c r="D11">
        <v>-56</v>
      </c>
      <c r="L11" t="s">
        <v>566</v>
      </c>
      <c r="N11" s="19">
        <f>D14+D15</f>
        <v>137.1</v>
      </c>
    </row>
    <row r="12" spans="1:19" ht="15" thickBot="1" x14ac:dyDescent="0.35">
      <c r="B12" t="s">
        <v>454</v>
      </c>
      <c r="D12">
        <v>12</v>
      </c>
      <c r="M12" s="8" t="s">
        <v>34</v>
      </c>
      <c r="N12" s="20">
        <f>SUM(N3:N11)</f>
        <v>1385</v>
      </c>
    </row>
    <row r="13" spans="1:19" ht="15" thickTop="1" x14ac:dyDescent="0.3">
      <c r="B13" s="17" t="s">
        <v>392</v>
      </c>
      <c r="C13" s="17"/>
      <c r="D13" s="17">
        <f>D7+D8+D9+D10+D11+D12</f>
        <v>457</v>
      </c>
    </row>
    <row r="14" spans="1:19" x14ac:dyDescent="0.3">
      <c r="B14" t="s">
        <v>556</v>
      </c>
      <c r="D14" s="19">
        <f>D13*0.3-15</f>
        <v>122.1</v>
      </c>
      <c r="K14" t="s">
        <v>573</v>
      </c>
    </row>
    <row r="15" spans="1:19" x14ac:dyDescent="0.3">
      <c r="B15" t="s">
        <v>557</v>
      </c>
      <c r="D15" s="15">
        <v>15</v>
      </c>
      <c r="L15" t="s">
        <v>302</v>
      </c>
    </row>
    <row r="16" spans="1:19" ht="15" thickBot="1" x14ac:dyDescent="0.35">
      <c r="B16" s="8" t="s">
        <v>302</v>
      </c>
      <c r="C16" s="8"/>
      <c r="D16" s="20">
        <f>D13-D14-D15</f>
        <v>319.89999999999998</v>
      </c>
      <c r="L16" t="s">
        <v>26</v>
      </c>
    </row>
    <row r="17" spans="12:13" ht="15" thickTop="1" x14ac:dyDescent="0.3">
      <c r="L17" t="s">
        <v>564</v>
      </c>
    </row>
    <row r="18" spans="12:13" x14ac:dyDescent="0.3">
      <c r="L18" t="s">
        <v>567</v>
      </c>
    </row>
    <row r="19" spans="12:13" x14ac:dyDescent="0.3">
      <c r="L19" t="s">
        <v>568</v>
      </c>
    </row>
    <row r="20" spans="12:13" x14ac:dyDescent="0.3">
      <c r="L20" t="s">
        <v>565</v>
      </c>
    </row>
    <row r="21" spans="12:13" x14ac:dyDescent="0.3">
      <c r="L21" t="s">
        <v>391</v>
      </c>
    </row>
    <row r="22" spans="12:13" x14ac:dyDescent="0.3">
      <c r="L22" t="s">
        <v>574</v>
      </c>
    </row>
    <row r="23" spans="12:13" x14ac:dyDescent="0.3">
      <c r="M23" t="s">
        <v>575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19"/>
  <sheetViews>
    <sheetView workbookViewId="0">
      <selection activeCell="H12" sqref="H12"/>
    </sheetView>
  </sheetViews>
  <sheetFormatPr defaultRowHeight="14.4" x14ac:dyDescent="0.3"/>
  <cols>
    <col min="3" max="3" width="1.44140625" style="90" customWidth="1"/>
    <col min="4" max="4" width="1.44140625" customWidth="1"/>
    <col min="5" max="5" width="21.77734375" customWidth="1"/>
    <col min="7" max="7" width="2" customWidth="1"/>
    <col min="8" max="8" width="1.44140625" style="90" customWidth="1"/>
    <col min="9" max="9" width="1.6640625" customWidth="1"/>
    <col min="10" max="10" width="26.77734375" customWidth="1"/>
    <col min="12" max="12" width="1.88671875" customWidth="1"/>
    <col min="13" max="13" width="1.77734375" style="90" customWidth="1"/>
    <col min="14" max="14" width="24.88671875" customWidth="1"/>
  </cols>
  <sheetData>
    <row r="3" spans="3:15" x14ac:dyDescent="0.3">
      <c r="C3" s="90" t="s">
        <v>472</v>
      </c>
      <c r="H3" s="90" t="s">
        <v>483</v>
      </c>
    </row>
    <row r="4" spans="3:15" x14ac:dyDescent="0.3">
      <c r="D4" t="s">
        <v>509</v>
      </c>
      <c r="F4" s="5">
        <v>100</v>
      </c>
      <c r="I4" t="s">
        <v>513</v>
      </c>
      <c r="K4" s="5">
        <v>140</v>
      </c>
      <c r="M4" s="90" t="s">
        <v>521</v>
      </c>
    </row>
    <row r="5" spans="3:15" x14ac:dyDescent="0.3">
      <c r="D5" t="s">
        <v>510</v>
      </c>
      <c r="F5" s="5">
        <v>200</v>
      </c>
      <c r="I5" t="s">
        <v>515</v>
      </c>
      <c r="K5" s="5">
        <v>30</v>
      </c>
      <c r="N5" t="s">
        <v>513</v>
      </c>
      <c r="O5" s="5">
        <f>K4</f>
        <v>140</v>
      </c>
    </row>
    <row r="6" spans="3:15" x14ac:dyDescent="0.3">
      <c r="D6" t="s">
        <v>475</v>
      </c>
      <c r="F6" s="5">
        <v>150</v>
      </c>
      <c r="I6" t="s">
        <v>486</v>
      </c>
      <c r="K6" s="5">
        <v>145</v>
      </c>
      <c r="N6" t="s">
        <v>515</v>
      </c>
      <c r="O6" s="5">
        <f>K5</f>
        <v>30</v>
      </c>
    </row>
    <row r="7" spans="3:15" x14ac:dyDescent="0.3">
      <c r="D7" t="s">
        <v>51</v>
      </c>
      <c r="F7" s="5">
        <v>160</v>
      </c>
      <c r="I7" t="s">
        <v>487</v>
      </c>
      <c r="K7" s="5">
        <v>135</v>
      </c>
      <c r="N7" t="s">
        <v>491</v>
      </c>
      <c r="O7" s="5">
        <f>K11</f>
        <v>1125</v>
      </c>
    </row>
    <row r="8" spans="3:15" ht="15" thickBot="1" x14ac:dyDescent="0.35">
      <c r="D8" t="s">
        <v>511</v>
      </c>
      <c r="F8" s="5">
        <v>60</v>
      </c>
      <c r="J8" s="8" t="s">
        <v>490</v>
      </c>
      <c r="K8" s="9">
        <f>SUM(K4:K7)</f>
        <v>450</v>
      </c>
      <c r="N8" t="s">
        <v>522</v>
      </c>
      <c r="O8" s="5">
        <f>-F4</f>
        <v>-100</v>
      </c>
    </row>
    <row r="9" spans="3:15" ht="15" thickTop="1" x14ac:dyDescent="0.3">
      <c r="D9" t="s">
        <v>476</v>
      </c>
      <c r="F9" s="5">
        <v>55</v>
      </c>
      <c r="K9" s="5"/>
      <c r="N9" t="s">
        <v>523</v>
      </c>
      <c r="O9" s="5">
        <f>-F9</f>
        <v>-55</v>
      </c>
    </row>
    <row r="10" spans="3:15" ht="15" thickBot="1" x14ac:dyDescent="0.35">
      <c r="E10" s="8" t="s">
        <v>481</v>
      </c>
      <c r="F10" s="9">
        <f>SUM(F4:F9)</f>
        <v>725</v>
      </c>
      <c r="H10" s="90" t="s">
        <v>494</v>
      </c>
      <c r="K10" s="5"/>
      <c r="N10" t="s">
        <v>524</v>
      </c>
      <c r="O10" s="5">
        <f>-F8</f>
        <v>-60</v>
      </c>
    </row>
    <row r="11" spans="3:15" ht="15" thickTop="1" x14ac:dyDescent="0.3">
      <c r="F11" s="5"/>
      <c r="I11" t="s">
        <v>491</v>
      </c>
      <c r="K11" s="5">
        <v>1125</v>
      </c>
      <c r="N11" t="s">
        <v>525</v>
      </c>
      <c r="O11" s="5">
        <f>-F14</f>
        <v>-15</v>
      </c>
    </row>
    <row r="12" spans="3:15" x14ac:dyDescent="0.3">
      <c r="C12" s="90" t="s">
        <v>478</v>
      </c>
      <c r="F12" s="5"/>
      <c r="I12" t="s">
        <v>517</v>
      </c>
      <c r="K12" s="5">
        <v>20</v>
      </c>
      <c r="N12" t="s">
        <v>526</v>
      </c>
      <c r="O12" s="5">
        <f>-F15</f>
        <v>-122</v>
      </c>
    </row>
    <row r="13" spans="3:15" ht="15" thickBot="1" x14ac:dyDescent="0.35">
      <c r="D13" t="s">
        <v>479</v>
      </c>
      <c r="F13" s="5">
        <v>1200</v>
      </c>
      <c r="I13" t="s">
        <v>518</v>
      </c>
      <c r="K13" s="5">
        <v>140</v>
      </c>
      <c r="N13" s="8" t="s">
        <v>527</v>
      </c>
      <c r="O13" s="9">
        <f>SUM(O5:O12)</f>
        <v>943</v>
      </c>
    </row>
    <row r="14" spans="3:15" ht="15" thickTop="1" x14ac:dyDescent="0.3">
      <c r="D14" t="s">
        <v>512</v>
      </c>
      <c r="F14" s="5">
        <v>15</v>
      </c>
      <c r="J14" t="s">
        <v>493</v>
      </c>
      <c r="K14" s="5">
        <f>SUM(K11:K13)</f>
        <v>1285</v>
      </c>
    </row>
    <row r="15" spans="3:15" ht="15" thickBot="1" x14ac:dyDescent="0.35">
      <c r="D15" t="s">
        <v>514</v>
      </c>
      <c r="F15" s="5">
        <v>122</v>
      </c>
      <c r="J15" s="8" t="s">
        <v>519</v>
      </c>
      <c r="K15" s="9">
        <f>F18-K14-K8</f>
        <v>327</v>
      </c>
    </row>
    <row r="16" spans="3:15" ht="15.6" thickTop="1" thickBot="1" x14ac:dyDescent="0.35">
      <c r="E16" s="8" t="s">
        <v>516</v>
      </c>
      <c r="F16" s="9">
        <f>SUM(F13:F15)</f>
        <v>1337</v>
      </c>
      <c r="K16" s="5"/>
    </row>
    <row r="17" spans="5:11" ht="15.6" thickTop="1" thickBot="1" x14ac:dyDescent="0.35">
      <c r="F17" s="5"/>
      <c r="J17" s="8" t="s">
        <v>520</v>
      </c>
      <c r="K17" s="9">
        <f>K15+K14+K8</f>
        <v>2062</v>
      </c>
    </row>
    <row r="18" spans="5:11" ht="15.6" thickTop="1" thickBot="1" x14ac:dyDescent="0.35">
      <c r="E18" s="8" t="s">
        <v>323</v>
      </c>
      <c r="F18" s="9">
        <f>F16+F10</f>
        <v>2062</v>
      </c>
    </row>
    <row r="19" spans="5:11" ht="15" thickTop="1" x14ac:dyDescent="0.3"/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6" max="17" width="2" customWidth="1"/>
    <col min="18" max="18" width="20" customWidth="1"/>
  </cols>
  <sheetData>
    <row r="2" spans="1:19" x14ac:dyDescent="0.3">
      <c r="A2" s="90" t="s">
        <v>7</v>
      </c>
      <c r="F2" s="90" t="s">
        <v>14</v>
      </c>
      <c r="K2" s="97"/>
      <c r="L2" s="6"/>
      <c r="M2" s="6"/>
      <c r="N2" s="6"/>
      <c r="O2" s="6"/>
      <c r="P2" s="97"/>
      <c r="Q2" s="6"/>
      <c r="R2" s="6"/>
      <c r="S2" s="6"/>
    </row>
    <row r="3" spans="1:19" x14ac:dyDescent="0.3">
      <c r="B3" t="s">
        <v>8</v>
      </c>
      <c r="D3">
        <v>1650</v>
      </c>
      <c r="G3" t="s">
        <v>302</v>
      </c>
      <c r="I3" s="19">
        <f>D16</f>
        <v>347.9</v>
      </c>
      <c r="K3" s="6"/>
      <c r="L3" s="6"/>
      <c r="M3" s="6"/>
      <c r="N3" s="62"/>
      <c r="O3" s="6"/>
      <c r="P3" s="6"/>
      <c r="Q3" s="6"/>
      <c r="R3" s="6"/>
      <c r="S3" s="6"/>
    </row>
    <row r="4" spans="1:19" x14ac:dyDescent="0.3">
      <c r="B4" t="s">
        <v>552</v>
      </c>
      <c r="D4">
        <v>890</v>
      </c>
      <c r="G4" t="s">
        <v>26</v>
      </c>
      <c r="I4">
        <f>D5</f>
        <v>280</v>
      </c>
      <c r="K4" s="6"/>
      <c r="L4" s="6"/>
      <c r="M4" s="6"/>
      <c r="N4" s="6"/>
      <c r="O4" s="6"/>
      <c r="P4" s="6"/>
      <c r="Q4" s="6"/>
      <c r="R4" s="6"/>
      <c r="S4" s="6"/>
    </row>
    <row r="5" spans="1:19" x14ac:dyDescent="0.3">
      <c r="B5" t="s">
        <v>24</v>
      </c>
      <c r="D5">
        <v>280</v>
      </c>
      <c r="G5" t="s">
        <v>561</v>
      </c>
      <c r="I5">
        <f>D15</f>
        <v>15</v>
      </c>
      <c r="K5" s="6"/>
      <c r="L5" s="6"/>
      <c r="M5" s="6"/>
      <c r="N5" s="6"/>
      <c r="O5" s="6"/>
      <c r="P5" s="6"/>
      <c r="Q5" s="6"/>
      <c r="R5" s="6"/>
      <c r="S5" s="6"/>
    </row>
    <row r="6" spans="1:19" x14ac:dyDescent="0.3">
      <c r="B6" t="s">
        <v>452</v>
      </c>
      <c r="D6">
        <v>50</v>
      </c>
      <c r="G6" t="s">
        <v>455</v>
      </c>
      <c r="I6">
        <f>D6</f>
        <v>50</v>
      </c>
      <c r="K6" s="6"/>
      <c r="L6" s="6"/>
      <c r="M6" s="6"/>
      <c r="N6" s="6"/>
      <c r="O6" s="6"/>
      <c r="P6" s="6"/>
      <c r="Q6" s="6"/>
      <c r="R6" s="6"/>
      <c r="S6" s="6"/>
    </row>
    <row r="7" spans="1:19" x14ac:dyDescent="0.3">
      <c r="B7" s="17" t="s">
        <v>73</v>
      </c>
      <c r="C7" s="17"/>
      <c r="D7" s="17">
        <f>D3-D4-D5-D6</f>
        <v>430</v>
      </c>
      <c r="G7" t="s">
        <v>558</v>
      </c>
      <c r="I7">
        <f>-D8</f>
        <v>-31</v>
      </c>
      <c r="K7" s="6"/>
      <c r="L7" s="6"/>
      <c r="M7" s="6"/>
      <c r="N7" s="6"/>
      <c r="O7" s="6"/>
      <c r="P7" s="6"/>
      <c r="Q7" s="6"/>
      <c r="R7" s="6"/>
      <c r="S7" s="6"/>
    </row>
    <row r="8" spans="1:19" x14ac:dyDescent="0.3">
      <c r="B8" t="s">
        <v>553</v>
      </c>
      <c r="D8" s="15">
        <v>31</v>
      </c>
      <c r="G8" t="s">
        <v>559</v>
      </c>
      <c r="I8">
        <v>-43</v>
      </c>
      <c r="K8" s="6"/>
      <c r="L8" s="6"/>
      <c r="M8" s="6"/>
      <c r="N8" s="6"/>
      <c r="O8" s="6"/>
      <c r="P8" s="6"/>
      <c r="Q8" s="6"/>
      <c r="R8" s="6"/>
      <c r="S8" s="62"/>
    </row>
    <row r="9" spans="1:19" x14ac:dyDescent="0.3">
      <c r="B9" t="s">
        <v>554</v>
      </c>
      <c r="D9" s="15">
        <v>98</v>
      </c>
      <c r="G9" t="s">
        <v>560</v>
      </c>
      <c r="I9">
        <f>-D10</f>
        <v>18</v>
      </c>
      <c r="K9" s="6"/>
      <c r="L9" s="6"/>
      <c r="M9" s="6"/>
      <c r="N9" s="6"/>
      <c r="O9" s="6"/>
      <c r="P9" s="6"/>
      <c r="Q9" s="6"/>
      <c r="R9" s="6"/>
      <c r="S9" s="6"/>
    </row>
    <row r="10" spans="1:19" ht="15" thickBot="1" x14ac:dyDescent="0.35">
      <c r="B10" t="s">
        <v>555</v>
      </c>
      <c r="D10" s="15">
        <v>-18</v>
      </c>
      <c r="H10" s="8" t="s">
        <v>562</v>
      </c>
      <c r="I10" s="20">
        <f>SUM(I3:I9)</f>
        <v>636.9</v>
      </c>
      <c r="K10" s="6"/>
      <c r="L10" s="6"/>
      <c r="M10" s="6"/>
      <c r="N10" s="6"/>
      <c r="O10" s="6"/>
      <c r="P10" s="6"/>
      <c r="Q10" s="6"/>
      <c r="R10" s="6"/>
      <c r="S10" s="6"/>
    </row>
    <row r="11" spans="1:19" ht="15" thickTop="1" x14ac:dyDescent="0.3">
      <c r="B11" t="s">
        <v>453</v>
      </c>
      <c r="D11">
        <v>-56</v>
      </c>
      <c r="K11" s="6"/>
      <c r="L11" s="6"/>
      <c r="M11" s="6"/>
      <c r="N11" s="62"/>
      <c r="O11" s="6"/>
      <c r="P11" s="6"/>
      <c r="Q11" s="6"/>
      <c r="R11" s="6"/>
      <c r="S11" s="6"/>
    </row>
    <row r="12" spans="1:19" x14ac:dyDescent="0.3">
      <c r="B12" t="s">
        <v>454</v>
      </c>
      <c r="D12">
        <v>12</v>
      </c>
      <c r="K12" s="6"/>
      <c r="L12" s="6"/>
      <c r="M12" s="6"/>
      <c r="N12" s="62"/>
      <c r="O12" s="6"/>
      <c r="P12" s="6"/>
      <c r="Q12" s="6"/>
      <c r="R12" s="6"/>
      <c r="S12" s="6"/>
    </row>
    <row r="13" spans="1:19" x14ac:dyDescent="0.3">
      <c r="B13" s="17" t="s">
        <v>392</v>
      </c>
      <c r="C13" s="17"/>
      <c r="D13" s="17">
        <f>D7+D8+D9+D10+D11+D12</f>
        <v>497</v>
      </c>
      <c r="K13" s="6"/>
      <c r="L13" s="6"/>
      <c r="M13" s="6"/>
      <c r="N13" s="6"/>
      <c r="O13" s="6"/>
      <c r="P13" s="6"/>
      <c r="Q13" s="6"/>
      <c r="R13" s="6"/>
      <c r="S13" s="6"/>
    </row>
    <row r="14" spans="1:19" x14ac:dyDescent="0.3">
      <c r="B14" t="s">
        <v>556</v>
      </c>
      <c r="D14" s="19">
        <f>D13*0.3-15</f>
        <v>134.1</v>
      </c>
      <c r="K14" s="6"/>
      <c r="L14" s="6"/>
      <c r="M14" s="6"/>
      <c r="N14" s="6"/>
      <c r="O14" s="6"/>
      <c r="P14" s="6"/>
      <c r="Q14" s="6"/>
      <c r="R14" s="6"/>
      <c r="S14" s="6"/>
    </row>
    <row r="15" spans="1:19" x14ac:dyDescent="0.3">
      <c r="B15" t="s">
        <v>557</v>
      </c>
      <c r="D15" s="15">
        <v>15</v>
      </c>
      <c r="K15" s="6"/>
      <c r="L15" s="6"/>
      <c r="M15" s="6"/>
      <c r="N15" s="6"/>
      <c r="O15" s="6"/>
      <c r="P15" s="6"/>
      <c r="Q15" s="6"/>
      <c r="R15" s="6"/>
      <c r="S15" s="6"/>
    </row>
    <row r="16" spans="1:19" ht="15" thickBot="1" x14ac:dyDescent="0.35">
      <c r="B16" s="8" t="s">
        <v>302</v>
      </c>
      <c r="C16" s="8"/>
      <c r="D16" s="20">
        <f>D13-D14-D15</f>
        <v>347.9</v>
      </c>
    </row>
    <row r="17" ht="15" thickTop="1" x14ac:dyDescent="0.3"/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7"/>
  <sheetViews>
    <sheetView topLeftCell="D1" workbookViewId="0">
      <selection activeCell="H12" sqref="H12"/>
    </sheetView>
  </sheetViews>
  <sheetFormatPr defaultRowHeight="14.4" x14ac:dyDescent="0.3"/>
  <cols>
    <col min="1" max="1" width="1.21875" style="90" customWidth="1"/>
    <col min="2" max="2" width="1.21875" customWidth="1"/>
    <col min="3" max="3" width="39.33203125" customWidth="1"/>
    <col min="5" max="5" width="4.5546875" customWidth="1"/>
    <col min="6" max="6" width="1.44140625" style="90" customWidth="1"/>
    <col min="7" max="7" width="1.44140625" customWidth="1"/>
    <col min="8" max="8" width="35.88671875" customWidth="1"/>
    <col min="11" max="12" width="1.6640625" customWidth="1"/>
    <col min="13" max="13" width="23.109375" customWidth="1"/>
    <col min="15" max="15" width="17.33203125" customWidth="1"/>
    <col min="16" max="17" width="2" customWidth="1"/>
    <col min="18" max="18" width="20" customWidth="1"/>
  </cols>
  <sheetData>
    <row r="2" spans="1:20" x14ac:dyDescent="0.3">
      <c r="A2" s="90" t="s">
        <v>7</v>
      </c>
      <c r="F2" s="90" t="s">
        <v>14</v>
      </c>
      <c r="K2" s="90" t="s">
        <v>563</v>
      </c>
      <c r="P2" s="90" t="s">
        <v>569</v>
      </c>
    </row>
    <row r="3" spans="1:20" x14ac:dyDescent="0.3">
      <c r="B3" t="s">
        <v>8</v>
      </c>
      <c r="D3">
        <v>1650</v>
      </c>
      <c r="G3" t="s">
        <v>302</v>
      </c>
      <c r="I3" s="19">
        <f>D16</f>
        <v>347.9</v>
      </c>
      <c r="L3" t="s">
        <v>302</v>
      </c>
      <c r="N3" s="19">
        <f>D16</f>
        <v>347.9</v>
      </c>
      <c r="O3" t="str">
        <f ca="1">_xlfn.FORMULATEXT(N3)</f>
        <v>=D16</v>
      </c>
      <c r="Q3" t="s">
        <v>8</v>
      </c>
      <c r="S3">
        <f>D3</f>
        <v>1650</v>
      </c>
      <c r="T3" t="str">
        <f ca="1">_xlfn.FORMULATEXT(S3)</f>
        <v>=D3</v>
      </c>
    </row>
    <row r="4" spans="1:20" x14ac:dyDescent="0.3">
      <c r="B4" t="s">
        <v>552</v>
      </c>
      <c r="D4">
        <v>890</v>
      </c>
      <c r="G4" t="s">
        <v>26</v>
      </c>
      <c r="I4">
        <f>D5</f>
        <v>280</v>
      </c>
      <c r="L4" t="s">
        <v>26</v>
      </c>
      <c r="N4">
        <f>I4</f>
        <v>280</v>
      </c>
      <c r="O4" t="str">
        <f t="shared" ref="O4:O12" ca="1" si="0">_xlfn.FORMULATEXT(N4)</f>
        <v>=I4</v>
      </c>
      <c r="Q4" t="s">
        <v>552</v>
      </c>
      <c r="S4">
        <f>D4</f>
        <v>890</v>
      </c>
      <c r="T4" t="str">
        <f t="shared" ref="T4:T6" ca="1" si="1">_xlfn.FORMULATEXT(S4)</f>
        <v>=D4</v>
      </c>
    </row>
    <row r="5" spans="1:20" x14ac:dyDescent="0.3">
      <c r="B5" t="s">
        <v>24</v>
      </c>
      <c r="D5">
        <v>280</v>
      </c>
      <c r="G5" t="s">
        <v>561</v>
      </c>
      <c r="I5">
        <f>D15</f>
        <v>15</v>
      </c>
      <c r="L5" t="s">
        <v>564</v>
      </c>
      <c r="N5">
        <f>D6</f>
        <v>50</v>
      </c>
      <c r="O5" t="str">
        <f t="shared" ca="1" si="0"/>
        <v>=D6</v>
      </c>
      <c r="Q5" t="s">
        <v>570</v>
      </c>
      <c r="S5">
        <f>D9+I8</f>
        <v>55</v>
      </c>
      <c r="T5" t="str">
        <f t="shared" ca="1" si="1"/>
        <v>=D9+I8</v>
      </c>
    </row>
    <row r="6" spans="1:20" ht="15" thickBot="1" x14ac:dyDescent="0.35">
      <c r="B6" t="s">
        <v>452</v>
      </c>
      <c r="D6">
        <v>50</v>
      </c>
      <c r="G6" t="s">
        <v>455</v>
      </c>
      <c r="I6">
        <f>D6</f>
        <v>50</v>
      </c>
      <c r="L6" t="s">
        <v>567</v>
      </c>
      <c r="N6">
        <f>-D8</f>
        <v>-31</v>
      </c>
      <c r="O6" t="str">
        <f t="shared" ca="1" si="0"/>
        <v>=-D8</v>
      </c>
      <c r="R6" s="8" t="s">
        <v>571</v>
      </c>
      <c r="S6" s="8">
        <f>S3-S4+S5</f>
        <v>815</v>
      </c>
      <c r="T6" t="str">
        <f t="shared" ca="1" si="1"/>
        <v>=S3-S4+S5</v>
      </c>
    </row>
    <row r="7" spans="1:20" ht="15" thickTop="1" x14ac:dyDescent="0.3">
      <c r="B7" s="17" t="s">
        <v>73</v>
      </c>
      <c r="C7" s="17"/>
      <c r="D7" s="17">
        <f>D3-D4-D5-D6</f>
        <v>430</v>
      </c>
      <c r="G7" t="s">
        <v>558</v>
      </c>
      <c r="I7">
        <f>-D8</f>
        <v>-31</v>
      </c>
      <c r="L7" t="s">
        <v>568</v>
      </c>
      <c r="N7">
        <f>I8</f>
        <v>-43</v>
      </c>
      <c r="O7" t="str">
        <f t="shared" ca="1" si="0"/>
        <v>=I8</v>
      </c>
    </row>
    <row r="8" spans="1:20" x14ac:dyDescent="0.3">
      <c r="B8" t="s">
        <v>553</v>
      </c>
      <c r="D8" s="15">
        <v>31</v>
      </c>
      <c r="G8" t="s">
        <v>559</v>
      </c>
      <c r="I8">
        <v>-43</v>
      </c>
      <c r="L8" t="s">
        <v>565</v>
      </c>
      <c r="N8">
        <f>I9</f>
        <v>18</v>
      </c>
      <c r="O8" t="str">
        <f t="shared" ca="1" si="0"/>
        <v>=I9</v>
      </c>
      <c r="S8" s="19">
        <f>S6-N12</f>
        <v>0</v>
      </c>
    </row>
    <row r="9" spans="1:20" x14ac:dyDescent="0.3">
      <c r="B9" t="s">
        <v>554</v>
      </c>
      <c r="D9" s="15">
        <v>98</v>
      </c>
      <c r="G9" t="s">
        <v>560</v>
      </c>
      <c r="I9">
        <f>-D10</f>
        <v>18</v>
      </c>
      <c r="L9" t="s">
        <v>390</v>
      </c>
      <c r="N9">
        <f>-D11</f>
        <v>56</v>
      </c>
      <c r="O9" t="str">
        <f t="shared" ca="1" si="0"/>
        <v>=-D11</v>
      </c>
    </row>
    <row r="10" spans="1:20" ht="15" thickBot="1" x14ac:dyDescent="0.35">
      <c r="B10" t="s">
        <v>555</v>
      </c>
      <c r="D10" s="15">
        <v>-18</v>
      </c>
      <c r="H10" s="8" t="s">
        <v>562</v>
      </c>
      <c r="I10" s="20">
        <f>SUM(I3:I9)</f>
        <v>636.9</v>
      </c>
      <c r="L10" t="s">
        <v>391</v>
      </c>
      <c r="N10">
        <f>-D12</f>
        <v>-12</v>
      </c>
      <c r="O10" t="str">
        <f t="shared" ca="1" si="0"/>
        <v>=-D12</v>
      </c>
    </row>
    <row r="11" spans="1:20" ht="15" thickTop="1" x14ac:dyDescent="0.3">
      <c r="B11" t="s">
        <v>453</v>
      </c>
      <c r="D11">
        <v>-56</v>
      </c>
      <c r="L11" t="s">
        <v>566</v>
      </c>
      <c r="N11" s="19">
        <f>D14+D15</f>
        <v>149.1</v>
      </c>
      <c r="O11" t="str">
        <f t="shared" ca="1" si="0"/>
        <v>=D14+D15</v>
      </c>
    </row>
    <row r="12" spans="1:20" ht="15" thickBot="1" x14ac:dyDescent="0.35">
      <c r="B12" t="s">
        <v>454</v>
      </c>
      <c r="D12">
        <v>12</v>
      </c>
      <c r="M12" s="8" t="s">
        <v>34</v>
      </c>
      <c r="N12" s="20">
        <f>SUM(N3:N11)</f>
        <v>815</v>
      </c>
      <c r="O12" t="str">
        <f t="shared" ca="1" si="0"/>
        <v>=SUM(N3:N11)</v>
      </c>
    </row>
    <row r="13" spans="1:20" ht="15" thickTop="1" x14ac:dyDescent="0.3">
      <c r="B13" s="17" t="s">
        <v>392</v>
      </c>
      <c r="C13" s="17"/>
      <c r="D13" s="17">
        <f>D7+D8+D9+D10+D11+D12</f>
        <v>497</v>
      </c>
    </row>
    <row r="14" spans="1:20" x14ac:dyDescent="0.3">
      <c r="B14" t="s">
        <v>556</v>
      </c>
      <c r="D14" s="19">
        <f>D13*0.3-15</f>
        <v>134.1</v>
      </c>
    </row>
    <row r="15" spans="1:20" x14ac:dyDescent="0.3">
      <c r="B15" t="s">
        <v>557</v>
      </c>
      <c r="D15" s="15">
        <v>15</v>
      </c>
    </row>
    <row r="16" spans="1:20" ht="15" thickBot="1" x14ac:dyDescent="0.35">
      <c r="B16" s="8" t="s">
        <v>302</v>
      </c>
      <c r="C16" s="8"/>
      <c r="D16" s="20">
        <f>D13-D14-D15</f>
        <v>347.9</v>
      </c>
    </row>
    <row r="17" ht="15" thickTop="1" x14ac:dyDescent="0.3"/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7"/>
  <sheetViews>
    <sheetView workbookViewId="0">
      <selection activeCell="H12" sqref="H12"/>
    </sheetView>
  </sheetViews>
  <sheetFormatPr defaultRowHeight="14.4" x14ac:dyDescent="0.3"/>
  <cols>
    <col min="3" max="3" width="21.88671875" customWidth="1"/>
    <col min="6" max="6" width="24.88671875" customWidth="1"/>
  </cols>
  <sheetData>
    <row r="1" spans="3:7" x14ac:dyDescent="0.3">
      <c r="F1" t="s">
        <v>534</v>
      </c>
      <c r="G1" s="5">
        <v>5200</v>
      </c>
    </row>
    <row r="2" spans="3:7" x14ac:dyDescent="0.3">
      <c r="F2" t="s">
        <v>541</v>
      </c>
      <c r="G2" s="5">
        <f>G1</f>
        <v>5200</v>
      </c>
    </row>
    <row r="4" spans="3:7" x14ac:dyDescent="0.3">
      <c r="C4" t="s">
        <v>533</v>
      </c>
      <c r="F4" t="s">
        <v>535</v>
      </c>
    </row>
    <row r="6" spans="3:7" x14ac:dyDescent="0.3">
      <c r="C6" s="90" t="s">
        <v>47</v>
      </c>
      <c r="F6" s="90" t="s">
        <v>47</v>
      </c>
    </row>
    <row r="7" spans="3:7" x14ac:dyDescent="0.3">
      <c r="C7" t="s">
        <v>475</v>
      </c>
      <c r="D7" s="5">
        <v>200</v>
      </c>
      <c r="F7" t="s">
        <v>475</v>
      </c>
      <c r="G7">
        <v>190</v>
      </c>
    </row>
    <row r="8" spans="3:7" x14ac:dyDescent="0.3">
      <c r="C8" t="s">
        <v>51</v>
      </c>
      <c r="D8" s="5">
        <v>300</v>
      </c>
      <c r="F8" t="s">
        <v>536</v>
      </c>
      <c r="G8">
        <v>320</v>
      </c>
    </row>
    <row r="9" spans="3:7" x14ac:dyDescent="0.3">
      <c r="C9" t="s">
        <v>91</v>
      </c>
      <c r="D9" s="5">
        <v>2000</v>
      </c>
      <c r="F9" t="s">
        <v>537</v>
      </c>
      <c r="G9">
        <v>2800</v>
      </c>
    </row>
    <row r="10" spans="3:7" ht="15" thickBot="1" x14ac:dyDescent="0.35">
      <c r="C10" s="8" t="s">
        <v>323</v>
      </c>
      <c r="D10" s="9">
        <f>SUM(D7:D9)</f>
        <v>2500</v>
      </c>
      <c r="F10" t="s">
        <v>538</v>
      </c>
      <c r="G10">
        <v>350</v>
      </c>
    </row>
    <row r="11" spans="3:7" ht="15" thickTop="1" x14ac:dyDescent="0.3">
      <c r="F11" t="s">
        <v>539</v>
      </c>
      <c r="G11">
        <v>450</v>
      </c>
    </row>
    <row r="12" spans="3:7" ht="15" thickBot="1" x14ac:dyDescent="0.35">
      <c r="C12" s="8" t="s">
        <v>6</v>
      </c>
      <c r="D12" s="96">
        <v>2500</v>
      </c>
      <c r="F12" t="s">
        <v>540</v>
      </c>
      <c r="G12">
        <v>620</v>
      </c>
    </row>
    <row r="13" spans="3:7" ht="15" thickTop="1" x14ac:dyDescent="0.3">
      <c r="F13" t="s">
        <v>480</v>
      </c>
      <c r="G13" s="5">
        <f>G16-SUM(G7:G12)</f>
        <v>470</v>
      </c>
    </row>
    <row r="14" spans="3:7" ht="15" thickBot="1" x14ac:dyDescent="0.35">
      <c r="F14" s="8" t="s">
        <v>323</v>
      </c>
      <c r="G14" s="9">
        <f>SUM(G7:G13)</f>
        <v>5200</v>
      </c>
    </row>
    <row r="15" spans="3:7" ht="15" thickTop="1" x14ac:dyDescent="0.3"/>
    <row r="16" spans="3:7" ht="15" thickBot="1" x14ac:dyDescent="0.35">
      <c r="F16" s="8" t="s">
        <v>6</v>
      </c>
      <c r="G16" s="9">
        <f>G1</f>
        <v>5200</v>
      </c>
    </row>
    <row r="17" ht="15" thickTop="1" x14ac:dyDescent="0.3"/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workbookViewId="0">
      <selection activeCell="H12" sqref="H12"/>
    </sheetView>
  </sheetViews>
  <sheetFormatPr defaultRowHeight="14.4" x14ac:dyDescent="0.3"/>
  <cols>
    <col min="1" max="1" width="1.6640625" style="33" customWidth="1"/>
    <col min="2" max="2" width="1.6640625" style="21" hidden="1" customWidth="1"/>
    <col min="3" max="3" width="27.88671875" style="21" customWidth="1"/>
    <col min="4" max="4" width="9.21875" style="21" customWidth="1"/>
    <col min="5" max="7" width="8.88671875" style="21"/>
    <col min="8" max="8" width="2.109375" style="21" customWidth="1"/>
    <col min="9" max="9" width="2" style="21" customWidth="1"/>
    <col min="10" max="10" width="28.21875" style="21" customWidth="1"/>
    <col min="11" max="16384" width="8.88671875" style="21"/>
  </cols>
  <sheetData>
    <row r="2" spans="1:13" x14ac:dyDescent="0.3">
      <c r="A2" s="33" t="s">
        <v>7</v>
      </c>
      <c r="E2" s="92">
        <v>1</v>
      </c>
      <c r="F2" s="92">
        <v>2</v>
      </c>
      <c r="G2" s="92">
        <v>3</v>
      </c>
      <c r="I2" s="33" t="s">
        <v>14</v>
      </c>
    </row>
    <row r="3" spans="1:13" x14ac:dyDescent="0.3">
      <c r="C3" s="21" t="s">
        <v>450</v>
      </c>
      <c r="E3" s="37">
        <v>1400</v>
      </c>
      <c r="F3" s="37">
        <v>1500</v>
      </c>
      <c r="G3" s="37">
        <v>1650</v>
      </c>
      <c r="I3" s="33"/>
      <c r="J3" s="21" t="s">
        <v>302</v>
      </c>
      <c r="K3" s="21">
        <f>E12</f>
        <v>645</v>
      </c>
      <c r="L3" s="21">
        <f>F12</f>
        <v>414</v>
      </c>
      <c r="M3" s="21">
        <f>G12</f>
        <v>484</v>
      </c>
    </row>
    <row r="4" spans="1:13" x14ac:dyDescent="0.3">
      <c r="C4" s="21" t="s">
        <v>451</v>
      </c>
      <c r="E4" s="37">
        <v>570</v>
      </c>
      <c r="F4" s="37">
        <v>670</v>
      </c>
      <c r="G4" s="37">
        <v>840</v>
      </c>
      <c r="I4" s="33"/>
      <c r="J4" s="21" t="s">
        <v>26</v>
      </c>
      <c r="K4" s="21">
        <f t="shared" ref="K4:M5" si="0">E5</f>
        <v>140</v>
      </c>
      <c r="L4" s="21">
        <f t="shared" si="0"/>
        <v>189</v>
      </c>
      <c r="M4" s="21">
        <f t="shared" si="0"/>
        <v>219</v>
      </c>
    </row>
    <row r="5" spans="1:13" x14ac:dyDescent="0.3">
      <c r="C5" s="21" t="s">
        <v>24</v>
      </c>
      <c r="E5" s="37">
        <v>140</v>
      </c>
      <c r="F5" s="37">
        <v>189</v>
      </c>
      <c r="G5" s="37">
        <v>219</v>
      </c>
      <c r="I5" s="33"/>
      <c r="J5" s="21" t="s">
        <v>455</v>
      </c>
      <c r="K5" s="21">
        <f t="shared" si="0"/>
        <v>0</v>
      </c>
      <c r="L5" s="21">
        <f t="shared" si="0"/>
        <v>159</v>
      </c>
      <c r="M5" s="21">
        <f t="shared" si="0"/>
        <v>20</v>
      </c>
    </row>
    <row r="6" spans="1:13" x14ac:dyDescent="0.3">
      <c r="C6" s="21" t="s">
        <v>469</v>
      </c>
      <c r="E6" s="37">
        <v>0</v>
      </c>
      <c r="F6" s="37">
        <v>159</v>
      </c>
      <c r="G6" s="37">
        <v>20</v>
      </c>
      <c r="I6" s="33"/>
      <c r="J6" s="21" t="s">
        <v>462</v>
      </c>
      <c r="K6" s="21">
        <f>E8</f>
        <v>5</v>
      </c>
      <c r="L6" s="21">
        <f>F8</f>
        <v>7</v>
      </c>
      <c r="M6" s="21">
        <f>G8</f>
        <v>3</v>
      </c>
    </row>
    <row r="7" spans="1:13" ht="15" thickBot="1" x14ac:dyDescent="0.35">
      <c r="A7" s="21"/>
      <c r="C7" s="21" t="s">
        <v>470</v>
      </c>
      <c r="E7" s="24">
        <v>30</v>
      </c>
      <c r="F7" s="24">
        <v>35</v>
      </c>
      <c r="G7" s="24">
        <v>25</v>
      </c>
      <c r="I7" s="33"/>
      <c r="J7" s="84" t="s">
        <v>456</v>
      </c>
      <c r="K7" s="84">
        <f>SUM(K3:K5)</f>
        <v>785</v>
      </c>
      <c r="L7" s="84">
        <f>SUM(L3:L5)</f>
        <v>762</v>
      </c>
      <c r="M7" s="84">
        <f>SUM(M3:M5)</f>
        <v>723</v>
      </c>
    </row>
    <row r="8" spans="1:13" x14ac:dyDescent="0.3">
      <c r="A8" s="21"/>
      <c r="C8" s="21" t="s">
        <v>462</v>
      </c>
      <c r="E8" s="24">
        <v>5</v>
      </c>
      <c r="F8" s="24">
        <v>7</v>
      </c>
      <c r="G8" s="24">
        <v>3</v>
      </c>
      <c r="I8" s="33"/>
      <c r="J8" s="21" t="s">
        <v>380</v>
      </c>
      <c r="K8" s="24">
        <v>-40</v>
      </c>
      <c r="L8" s="24">
        <v>-130</v>
      </c>
      <c r="M8" s="24">
        <v>-230</v>
      </c>
    </row>
    <row r="9" spans="1:13" x14ac:dyDescent="0.3">
      <c r="C9" s="35" t="s">
        <v>73</v>
      </c>
      <c r="D9" s="35"/>
      <c r="E9" s="75">
        <f>E3-E4-E5-E6+E8-E7</f>
        <v>665</v>
      </c>
      <c r="F9" s="75">
        <f t="shared" ref="F9:G9" si="1">F3-F4-F5-F6+F8-F7</f>
        <v>454</v>
      </c>
      <c r="G9" s="75">
        <f t="shared" si="1"/>
        <v>549</v>
      </c>
      <c r="I9" s="33"/>
      <c r="J9" s="21" t="s">
        <v>466</v>
      </c>
      <c r="K9" s="24">
        <v>-20</v>
      </c>
      <c r="L9" s="24">
        <v>-30</v>
      </c>
      <c r="M9" s="24">
        <v>-50</v>
      </c>
    </row>
    <row r="10" spans="1:13" x14ac:dyDescent="0.3">
      <c r="C10" s="21" t="s">
        <v>453</v>
      </c>
      <c r="E10" s="37">
        <v>40</v>
      </c>
      <c r="F10" s="37">
        <v>50</v>
      </c>
      <c r="G10" s="37">
        <v>80</v>
      </c>
      <c r="I10" s="33"/>
      <c r="J10" s="21" t="s">
        <v>467</v>
      </c>
      <c r="K10" s="24">
        <v>-120</v>
      </c>
      <c r="L10" s="24">
        <v>-30</v>
      </c>
      <c r="M10" s="24">
        <v>-29</v>
      </c>
    </row>
    <row r="11" spans="1:13" x14ac:dyDescent="0.3">
      <c r="C11" s="21" t="s">
        <v>454</v>
      </c>
      <c r="E11" s="37">
        <v>20</v>
      </c>
      <c r="F11" s="37">
        <v>10</v>
      </c>
      <c r="G11" s="37">
        <v>15</v>
      </c>
      <c r="I11" s="33"/>
      <c r="J11" s="21" t="s">
        <v>381</v>
      </c>
      <c r="K11" s="24">
        <v>30</v>
      </c>
      <c r="L11" s="24">
        <v>20</v>
      </c>
      <c r="M11" s="24">
        <v>10</v>
      </c>
    </row>
    <row r="12" spans="1:13" ht="15" thickBot="1" x14ac:dyDescent="0.35">
      <c r="C12" s="47" t="s">
        <v>302</v>
      </c>
      <c r="D12" s="47"/>
      <c r="E12" s="76">
        <f>E9-E10+E11</f>
        <v>645</v>
      </c>
      <c r="F12" s="76">
        <f t="shared" ref="F12:G12" si="2">F9-F10+F11</f>
        <v>414</v>
      </c>
      <c r="G12" s="76">
        <f t="shared" si="2"/>
        <v>484</v>
      </c>
      <c r="I12" s="33"/>
      <c r="J12" s="84" t="s">
        <v>379</v>
      </c>
      <c r="K12" s="84">
        <f>SUM(K8:K11)</f>
        <v>-150</v>
      </c>
      <c r="L12" s="84">
        <f>SUM(L8:L11)</f>
        <v>-170</v>
      </c>
      <c r="M12" s="84">
        <f>SUM(M8:M11)</f>
        <v>-299</v>
      </c>
    </row>
    <row r="13" spans="1:13" ht="15" thickTop="1" x14ac:dyDescent="0.3">
      <c r="A13" s="21"/>
      <c r="I13" s="33"/>
      <c r="J13" s="21" t="s">
        <v>457</v>
      </c>
      <c r="K13" s="24">
        <v>200</v>
      </c>
      <c r="L13" s="24">
        <v>130</v>
      </c>
      <c r="M13" s="24">
        <v>150</v>
      </c>
    </row>
    <row r="14" spans="1:13" x14ac:dyDescent="0.3">
      <c r="A14" s="21"/>
      <c r="I14" s="33"/>
      <c r="J14" s="21" t="s">
        <v>458</v>
      </c>
      <c r="K14" s="24">
        <v>-300</v>
      </c>
      <c r="L14" s="24">
        <v>-600</v>
      </c>
      <c r="M14" s="24">
        <v>-250</v>
      </c>
    </row>
    <row r="15" spans="1:13" x14ac:dyDescent="0.3">
      <c r="J15" s="21" t="s">
        <v>459</v>
      </c>
      <c r="K15" s="24">
        <v>-500</v>
      </c>
      <c r="L15" s="24">
        <v>-200</v>
      </c>
      <c r="M15" s="24">
        <v>-400</v>
      </c>
    </row>
    <row r="16" spans="1:13" ht="15" thickBot="1" x14ac:dyDescent="0.35">
      <c r="J16" s="84" t="s">
        <v>460</v>
      </c>
      <c r="K16" s="84">
        <f>SUM(K13:K15)</f>
        <v>-600</v>
      </c>
      <c r="L16" s="84">
        <f>SUM(L13:L15)</f>
        <v>-670</v>
      </c>
      <c r="M16" s="84">
        <f>SUM(M13:M15)</f>
        <v>-500</v>
      </c>
    </row>
    <row r="17" spans="1:13" x14ac:dyDescent="0.3">
      <c r="J17" s="21" t="s">
        <v>17</v>
      </c>
      <c r="K17" s="21">
        <f>K7+K12+K16</f>
        <v>35</v>
      </c>
      <c r="L17" s="21">
        <f>L7+L12+L16</f>
        <v>-78</v>
      </c>
      <c r="M17" s="21">
        <f>M7+M12+M16</f>
        <v>-76</v>
      </c>
    </row>
    <row r="19" spans="1:13" x14ac:dyDescent="0.3">
      <c r="A19" s="33" t="s">
        <v>464</v>
      </c>
      <c r="D19" s="91"/>
      <c r="E19" s="92">
        <v>1</v>
      </c>
      <c r="F19" s="92">
        <v>2</v>
      </c>
      <c r="G19" s="92">
        <v>3</v>
      </c>
    </row>
    <row r="20" spans="1:13" x14ac:dyDescent="0.3">
      <c r="C20" s="21" t="s">
        <v>77</v>
      </c>
      <c r="E20" s="34">
        <f>D25</f>
        <v>3000</v>
      </c>
      <c r="F20" s="34">
        <f>E25</f>
        <v>3130</v>
      </c>
      <c r="G20" s="34">
        <f>F25</f>
        <v>3096</v>
      </c>
    </row>
    <row r="21" spans="1:13" x14ac:dyDescent="0.3">
      <c r="C21" s="21" t="s">
        <v>465</v>
      </c>
      <c r="E21" s="34">
        <f>-K8</f>
        <v>40</v>
      </c>
      <c r="F21" s="34">
        <f>-L8</f>
        <v>130</v>
      </c>
      <c r="G21" s="34">
        <f>-M8</f>
        <v>230</v>
      </c>
    </row>
    <row r="22" spans="1:13" x14ac:dyDescent="0.3">
      <c r="C22" s="21" t="s">
        <v>468</v>
      </c>
      <c r="E22" s="21">
        <f>-K10</f>
        <v>120</v>
      </c>
      <c r="F22" s="21">
        <f>-L10</f>
        <v>30</v>
      </c>
      <c r="G22" s="21">
        <f>-M10</f>
        <v>29</v>
      </c>
    </row>
    <row r="23" spans="1:13" x14ac:dyDescent="0.3">
      <c r="C23" s="21" t="s">
        <v>452</v>
      </c>
      <c r="E23" s="34">
        <f t="shared" ref="E23:G24" si="3">-E6</f>
        <v>0</v>
      </c>
      <c r="F23" s="34">
        <f t="shared" si="3"/>
        <v>-159</v>
      </c>
      <c r="G23" s="34">
        <f t="shared" si="3"/>
        <v>-20</v>
      </c>
    </row>
    <row r="24" spans="1:13" x14ac:dyDescent="0.3">
      <c r="C24" s="21" t="s">
        <v>471</v>
      </c>
      <c r="E24" s="34">
        <f t="shared" si="3"/>
        <v>-30</v>
      </c>
      <c r="F24" s="34">
        <f t="shared" si="3"/>
        <v>-35</v>
      </c>
      <c r="G24" s="34">
        <f t="shared" si="3"/>
        <v>-25</v>
      </c>
    </row>
    <row r="25" spans="1:13" x14ac:dyDescent="0.3">
      <c r="A25" s="21"/>
      <c r="C25" s="21" t="s">
        <v>79</v>
      </c>
      <c r="D25" s="37">
        <v>3000</v>
      </c>
      <c r="E25" s="34">
        <f>SUM(E20:E24)</f>
        <v>3130</v>
      </c>
      <c r="F25" s="34">
        <f>SUM(F20:F24)</f>
        <v>3096</v>
      </c>
      <c r="G25" s="34">
        <f>SUM(G20:G24)</f>
        <v>3310</v>
      </c>
    </row>
  </sheetData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9"/>
  <sheetViews>
    <sheetView workbookViewId="0">
      <selection activeCell="H12" sqref="H12"/>
    </sheetView>
  </sheetViews>
  <sheetFormatPr defaultRowHeight="14.4" x14ac:dyDescent="0.3"/>
  <cols>
    <col min="1" max="1" width="0.77734375" style="90" customWidth="1"/>
    <col min="2" max="2" width="0.77734375" style="93" customWidth="1"/>
    <col min="3" max="3" width="0.77734375" customWidth="1"/>
    <col min="4" max="4" width="29" customWidth="1"/>
    <col min="7" max="7" width="2.88671875" customWidth="1"/>
    <col min="8" max="8" width="1.33203125" style="90" customWidth="1"/>
    <col min="9" max="9" width="1.33203125" style="93" customWidth="1"/>
    <col min="10" max="10" width="1.33203125" customWidth="1"/>
    <col min="11" max="11" width="24.5546875" customWidth="1"/>
    <col min="15" max="17" width="1.44140625" customWidth="1"/>
    <col min="18" max="18" width="29.21875" customWidth="1"/>
  </cols>
  <sheetData>
    <row r="2" spans="1:20" x14ac:dyDescent="0.3">
      <c r="E2" s="2" t="s">
        <v>22</v>
      </c>
      <c r="F2" s="2" t="s">
        <v>23</v>
      </c>
      <c r="L2" s="2" t="s">
        <v>22</v>
      </c>
      <c r="M2" s="2" t="s">
        <v>23</v>
      </c>
    </row>
    <row r="3" spans="1:20" x14ac:dyDescent="0.3">
      <c r="A3" s="90" t="s">
        <v>47</v>
      </c>
      <c r="H3" s="90" t="s">
        <v>484</v>
      </c>
    </row>
    <row r="4" spans="1:20" x14ac:dyDescent="0.3">
      <c r="B4" s="93" t="s">
        <v>472</v>
      </c>
      <c r="I4" s="93" t="s">
        <v>483</v>
      </c>
    </row>
    <row r="5" spans="1:20" x14ac:dyDescent="0.3">
      <c r="C5" t="s">
        <v>473</v>
      </c>
      <c r="E5" s="5">
        <v>100</v>
      </c>
      <c r="F5" s="5">
        <v>200</v>
      </c>
      <c r="J5" t="s">
        <v>485</v>
      </c>
      <c r="L5" s="5">
        <v>120</v>
      </c>
      <c r="M5" s="5">
        <v>130</v>
      </c>
    </row>
    <row r="6" spans="1:20" x14ac:dyDescent="0.3">
      <c r="C6" t="s">
        <v>474</v>
      </c>
      <c r="E6" s="5">
        <v>250</v>
      </c>
      <c r="F6" s="5">
        <v>310</v>
      </c>
      <c r="J6" t="s">
        <v>486</v>
      </c>
      <c r="L6" s="5">
        <v>215</v>
      </c>
      <c r="M6" s="5">
        <v>234</v>
      </c>
      <c r="O6" t="s">
        <v>499</v>
      </c>
      <c r="S6" s="2" t="s">
        <v>22</v>
      </c>
      <c r="T6" s="2" t="s">
        <v>23</v>
      </c>
    </row>
    <row r="7" spans="1:20" x14ac:dyDescent="0.3">
      <c r="C7" t="s">
        <v>475</v>
      </c>
      <c r="E7" s="5">
        <v>300</v>
      </c>
      <c r="F7" s="5">
        <v>340</v>
      </c>
      <c r="J7" t="s">
        <v>487</v>
      </c>
      <c r="L7" s="5">
        <v>134</v>
      </c>
      <c r="M7" s="5">
        <v>154</v>
      </c>
      <c r="P7" t="s">
        <v>500</v>
      </c>
    </row>
    <row r="8" spans="1:20" x14ac:dyDescent="0.3">
      <c r="C8" t="s">
        <v>476</v>
      </c>
      <c r="E8" s="5">
        <v>320</v>
      </c>
      <c r="F8" s="5">
        <v>310</v>
      </c>
      <c r="J8" t="s">
        <v>488</v>
      </c>
      <c r="L8" s="5">
        <v>125</v>
      </c>
      <c r="M8" s="5">
        <v>129</v>
      </c>
      <c r="Q8" t="str">
        <f>C7</f>
        <v>Accounts Receivable</v>
      </c>
      <c r="S8" s="5">
        <f>E7</f>
        <v>300</v>
      </c>
      <c r="T8" s="5">
        <f>F7</f>
        <v>340</v>
      </c>
    </row>
    <row r="9" spans="1:20" x14ac:dyDescent="0.3">
      <c r="C9" t="s">
        <v>477</v>
      </c>
      <c r="E9" s="5">
        <v>210</v>
      </c>
      <c r="F9" s="5">
        <v>230</v>
      </c>
      <c r="J9" t="s">
        <v>489</v>
      </c>
      <c r="L9" s="5">
        <v>50</v>
      </c>
      <c r="M9" s="5">
        <v>65</v>
      </c>
      <c r="Q9" t="str">
        <f>C9</f>
        <v>Pre-paid Expenses</v>
      </c>
      <c r="S9" s="5">
        <f>E9</f>
        <v>210</v>
      </c>
      <c r="T9" s="5">
        <f>F9</f>
        <v>230</v>
      </c>
    </row>
    <row r="10" spans="1:20" x14ac:dyDescent="0.3">
      <c r="C10" t="s">
        <v>51</v>
      </c>
      <c r="E10" s="5">
        <v>240</v>
      </c>
      <c r="F10" s="5">
        <v>235</v>
      </c>
      <c r="J10" t="s">
        <v>495</v>
      </c>
      <c r="L10" s="5">
        <v>34</v>
      </c>
      <c r="M10" s="5">
        <v>36</v>
      </c>
      <c r="Q10" t="str">
        <f>C10</f>
        <v>Inventories</v>
      </c>
      <c r="S10" s="5">
        <f>E10</f>
        <v>240</v>
      </c>
      <c r="T10" s="5">
        <f>F10</f>
        <v>235</v>
      </c>
    </row>
    <row r="11" spans="1:20" ht="15" thickBot="1" x14ac:dyDescent="0.35">
      <c r="D11" s="1" t="s">
        <v>481</v>
      </c>
      <c r="E11" s="7">
        <f>SUM(E5:E10)</f>
        <v>1420</v>
      </c>
      <c r="F11" s="7">
        <f>SUM(F5:F10)</f>
        <v>1625</v>
      </c>
      <c r="K11" s="1" t="s">
        <v>490</v>
      </c>
      <c r="L11" s="7">
        <f>SUM(L5:L10)</f>
        <v>678</v>
      </c>
      <c r="M11" s="7">
        <f>SUM(M5:M10)</f>
        <v>748</v>
      </c>
      <c r="R11" s="8" t="s">
        <v>503</v>
      </c>
      <c r="S11" s="9">
        <f>SUM(S8:S10)</f>
        <v>750</v>
      </c>
      <c r="T11" s="9">
        <f>SUM(T8:T10)</f>
        <v>805</v>
      </c>
    </row>
    <row r="12" spans="1:20" x14ac:dyDescent="0.3">
      <c r="B12" s="93" t="s">
        <v>478</v>
      </c>
      <c r="E12" s="5"/>
      <c r="F12" s="5"/>
      <c r="I12" s="93" t="s">
        <v>494</v>
      </c>
      <c r="L12" s="5"/>
      <c r="M12" s="5"/>
      <c r="P12" t="s">
        <v>501</v>
      </c>
    </row>
    <row r="13" spans="1:20" x14ac:dyDescent="0.3">
      <c r="C13" t="s">
        <v>479</v>
      </c>
      <c r="E13" s="5">
        <v>3200</v>
      </c>
      <c r="F13" s="5">
        <v>3400</v>
      </c>
      <c r="J13" t="s">
        <v>491</v>
      </c>
      <c r="L13" s="5">
        <v>2450</v>
      </c>
      <c r="M13" s="5">
        <v>2633</v>
      </c>
      <c r="Q13" t="str">
        <f>J6</f>
        <v>Accounts Payable</v>
      </c>
      <c r="S13" s="5">
        <f>L6</f>
        <v>215</v>
      </c>
      <c r="T13" s="5">
        <f>M6</f>
        <v>234</v>
      </c>
    </row>
    <row r="14" spans="1:20" x14ac:dyDescent="0.3">
      <c r="C14" t="s">
        <v>480</v>
      </c>
      <c r="E14" s="5">
        <v>200</v>
      </c>
      <c r="F14" s="5">
        <v>200</v>
      </c>
      <c r="J14" t="s">
        <v>492</v>
      </c>
      <c r="L14" s="5">
        <v>112</v>
      </c>
      <c r="M14" s="5">
        <v>115</v>
      </c>
      <c r="Q14" t="str">
        <f>J7</f>
        <v>Accrued Expenses</v>
      </c>
      <c r="S14" s="5">
        <f>L7</f>
        <v>134</v>
      </c>
      <c r="T14" s="5">
        <f>M7</f>
        <v>154</v>
      </c>
    </row>
    <row r="15" spans="1:20" ht="15" thickBot="1" x14ac:dyDescent="0.35">
      <c r="D15" s="10" t="s">
        <v>482</v>
      </c>
      <c r="E15" s="11">
        <f>SUM(E13:E14)</f>
        <v>3400</v>
      </c>
      <c r="F15" s="11">
        <f>SUM(F13:F14)</f>
        <v>3600</v>
      </c>
      <c r="J15" t="s">
        <v>498</v>
      </c>
      <c r="L15" s="5">
        <v>234</v>
      </c>
      <c r="M15" s="5">
        <v>343</v>
      </c>
      <c r="R15" s="8" t="s">
        <v>502</v>
      </c>
      <c r="S15" s="9">
        <f>SUM(S13:S14)</f>
        <v>349</v>
      </c>
      <c r="T15" s="9">
        <f>SUM(T13:T14)</f>
        <v>388</v>
      </c>
    </row>
    <row r="16" spans="1:20" ht="15.6" thickTop="1" thickBot="1" x14ac:dyDescent="0.35">
      <c r="D16" s="8" t="s">
        <v>323</v>
      </c>
      <c r="E16" s="9">
        <f>E11+E15</f>
        <v>4820</v>
      </c>
      <c r="F16" s="9">
        <f>F11+F15</f>
        <v>5225</v>
      </c>
      <c r="K16" s="1" t="s">
        <v>493</v>
      </c>
      <c r="L16" s="7">
        <f>SUM(L13:L15)</f>
        <v>2796</v>
      </c>
      <c r="M16" s="7">
        <f>SUM(M13:M15)</f>
        <v>3091</v>
      </c>
    </row>
    <row r="17" spans="9:20" ht="15" thickTop="1" x14ac:dyDescent="0.3">
      <c r="I17" s="93" t="s">
        <v>496</v>
      </c>
      <c r="L17" s="5">
        <f>E16-L16-L11</f>
        <v>1346</v>
      </c>
      <c r="M17" s="5">
        <f>F16-M16-M11</f>
        <v>1386</v>
      </c>
      <c r="R17" t="s">
        <v>504</v>
      </c>
      <c r="S17" s="5">
        <f>S11-S15</f>
        <v>401</v>
      </c>
      <c r="T17" s="5">
        <f>T11-T15</f>
        <v>417</v>
      </c>
    </row>
    <row r="18" spans="9:20" ht="15" thickBot="1" x14ac:dyDescent="0.35">
      <c r="K18" s="8" t="s">
        <v>497</v>
      </c>
      <c r="L18" s="9">
        <f>L17+L16+L11</f>
        <v>4820</v>
      </c>
      <c r="M18" s="9">
        <f>M17+M16+M11</f>
        <v>5225</v>
      </c>
      <c r="R18" s="8" t="s">
        <v>505</v>
      </c>
      <c r="S18" s="9"/>
      <c r="T18" s="95">
        <f>T17-S17</f>
        <v>16</v>
      </c>
    </row>
    <row r="19" spans="9:20" ht="15" thickTop="1" x14ac:dyDescent="0.3"/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workbookViewId="0">
      <selection activeCell="H12" sqref="H12"/>
    </sheetView>
  </sheetViews>
  <sheetFormatPr defaultRowHeight="14.4" x14ac:dyDescent="0.3"/>
  <cols>
    <col min="1" max="1" width="1.6640625" style="33" customWidth="1"/>
    <col min="2" max="2" width="1.6640625" style="21" hidden="1" customWidth="1"/>
    <col min="3" max="3" width="27.88671875" style="21" customWidth="1"/>
    <col min="4" max="4" width="9.21875" style="21" customWidth="1"/>
    <col min="5" max="7" width="8.88671875" style="21"/>
    <col min="8" max="8" width="2.109375" style="21" customWidth="1"/>
    <col min="9" max="9" width="2" style="21" customWidth="1"/>
    <col min="10" max="10" width="25.21875" style="21" customWidth="1"/>
    <col min="11" max="16384" width="8.88671875" style="21"/>
  </cols>
  <sheetData>
    <row r="2" spans="1:13" x14ac:dyDescent="0.3">
      <c r="A2" s="33" t="s">
        <v>7</v>
      </c>
      <c r="E2" s="92">
        <v>1</v>
      </c>
      <c r="F2" s="92">
        <v>2</v>
      </c>
      <c r="G2" s="92">
        <v>3</v>
      </c>
      <c r="I2" s="33" t="s">
        <v>14</v>
      </c>
    </row>
    <row r="3" spans="1:13" x14ac:dyDescent="0.3">
      <c r="C3" s="21" t="s">
        <v>450</v>
      </c>
      <c r="E3" s="37">
        <v>1400</v>
      </c>
      <c r="F3" s="37">
        <v>1500</v>
      </c>
      <c r="G3" s="37">
        <v>1650</v>
      </c>
      <c r="I3" s="33"/>
      <c r="J3" s="21" t="s">
        <v>302</v>
      </c>
      <c r="K3" s="21">
        <f>E11</f>
        <v>675</v>
      </c>
      <c r="L3" s="21">
        <f>F11</f>
        <v>449</v>
      </c>
      <c r="M3" s="21">
        <f>G11</f>
        <v>509</v>
      </c>
    </row>
    <row r="4" spans="1:13" x14ac:dyDescent="0.3">
      <c r="C4" s="21" t="s">
        <v>451</v>
      </c>
      <c r="E4" s="37">
        <v>570</v>
      </c>
      <c r="F4" s="37">
        <v>670</v>
      </c>
      <c r="G4" s="37">
        <v>840</v>
      </c>
      <c r="I4" s="33"/>
      <c r="J4" s="21" t="s">
        <v>26</v>
      </c>
      <c r="K4" s="21">
        <f t="shared" ref="K4:M5" si="0">E5</f>
        <v>140</v>
      </c>
      <c r="L4" s="21">
        <f t="shared" si="0"/>
        <v>189</v>
      </c>
      <c r="M4" s="21">
        <f t="shared" si="0"/>
        <v>219</v>
      </c>
    </row>
    <row r="5" spans="1:13" x14ac:dyDescent="0.3">
      <c r="C5" s="21" t="s">
        <v>24</v>
      </c>
      <c r="E5" s="37">
        <v>140</v>
      </c>
      <c r="F5" s="37">
        <v>189</v>
      </c>
      <c r="G5" s="37">
        <v>219</v>
      </c>
      <c r="I5" s="33"/>
      <c r="J5" s="21" t="s">
        <v>455</v>
      </c>
      <c r="K5" s="21">
        <f t="shared" si="0"/>
        <v>0</v>
      </c>
      <c r="L5" s="21">
        <f t="shared" si="0"/>
        <v>159</v>
      </c>
      <c r="M5" s="21">
        <f t="shared" si="0"/>
        <v>20</v>
      </c>
    </row>
    <row r="6" spans="1:13" x14ac:dyDescent="0.3">
      <c r="C6" s="21" t="s">
        <v>452</v>
      </c>
      <c r="E6" s="37">
        <v>0</v>
      </c>
      <c r="F6" s="37">
        <v>159</v>
      </c>
      <c r="G6" s="37">
        <v>20</v>
      </c>
      <c r="I6" s="33"/>
      <c r="J6" s="21" t="s">
        <v>462</v>
      </c>
      <c r="K6" s="21">
        <f>E7</f>
        <v>5</v>
      </c>
      <c r="L6" s="21">
        <f t="shared" ref="L6:M6" si="1">F7</f>
        <v>7</v>
      </c>
      <c r="M6" s="21">
        <f t="shared" si="1"/>
        <v>3</v>
      </c>
    </row>
    <row r="7" spans="1:13" ht="15" thickBot="1" x14ac:dyDescent="0.35">
      <c r="A7" s="21"/>
      <c r="C7" s="21" t="s">
        <v>462</v>
      </c>
      <c r="E7" s="24">
        <v>5</v>
      </c>
      <c r="F7" s="24">
        <v>7</v>
      </c>
      <c r="G7" s="24">
        <v>3</v>
      </c>
      <c r="I7" s="33"/>
      <c r="J7" s="84" t="s">
        <v>456</v>
      </c>
      <c r="K7" s="84">
        <f>SUM(K3:K5)</f>
        <v>815</v>
      </c>
      <c r="L7" s="84">
        <f>SUM(L3:L5)</f>
        <v>797</v>
      </c>
      <c r="M7" s="84">
        <f>SUM(M3:M5)</f>
        <v>748</v>
      </c>
    </row>
    <row r="8" spans="1:13" x14ac:dyDescent="0.3">
      <c r="C8" s="35" t="s">
        <v>73</v>
      </c>
      <c r="D8" s="35"/>
      <c r="E8" s="75">
        <f>E3-E4-E5-E6+E7</f>
        <v>695</v>
      </c>
      <c r="F8" s="75">
        <f t="shared" ref="F8:G8" si="2">F3-F4-F5-F6+F7</f>
        <v>489</v>
      </c>
      <c r="G8" s="75">
        <f t="shared" si="2"/>
        <v>574</v>
      </c>
      <c r="I8" s="33"/>
      <c r="J8" s="21" t="s">
        <v>380</v>
      </c>
      <c r="K8" s="24">
        <v>-200</v>
      </c>
      <c r="L8" s="24">
        <v>-150</v>
      </c>
      <c r="M8" s="24">
        <v>-250</v>
      </c>
    </row>
    <row r="9" spans="1:13" x14ac:dyDescent="0.3">
      <c r="C9" s="21" t="s">
        <v>453</v>
      </c>
      <c r="E9" s="37">
        <v>40</v>
      </c>
      <c r="F9" s="37">
        <v>50</v>
      </c>
      <c r="G9" s="37">
        <v>80</v>
      </c>
      <c r="I9" s="33"/>
      <c r="J9" s="21" t="s">
        <v>381</v>
      </c>
      <c r="K9" s="24">
        <v>30</v>
      </c>
      <c r="L9" s="24">
        <v>20</v>
      </c>
      <c r="M9" s="24">
        <v>10</v>
      </c>
    </row>
    <row r="10" spans="1:13" ht="15" thickBot="1" x14ac:dyDescent="0.35">
      <c r="C10" s="21" t="s">
        <v>454</v>
      </c>
      <c r="E10" s="37">
        <v>20</v>
      </c>
      <c r="F10" s="37">
        <v>10</v>
      </c>
      <c r="G10" s="37">
        <v>15</v>
      </c>
      <c r="I10" s="33"/>
      <c r="J10" s="84" t="s">
        <v>379</v>
      </c>
      <c r="K10" s="84">
        <f>SUM(K8:K9)</f>
        <v>-170</v>
      </c>
      <c r="L10" s="84">
        <f>SUM(L8:L9)</f>
        <v>-130</v>
      </c>
      <c r="M10" s="84">
        <f>SUM(M8:M9)</f>
        <v>-240</v>
      </c>
    </row>
    <row r="11" spans="1:13" ht="15" thickBot="1" x14ac:dyDescent="0.35">
      <c r="C11" s="47" t="s">
        <v>302</v>
      </c>
      <c r="D11" s="47"/>
      <c r="E11" s="76">
        <f>E8-E9+E10</f>
        <v>675</v>
      </c>
      <c r="F11" s="76">
        <f t="shared" ref="F11:G11" si="3">F8-F9+F10</f>
        <v>449</v>
      </c>
      <c r="G11" s="76">
        <f t="shared" si="3"/>
        <v>509</v>
      </c>
      <c r="I11" s="33"/>
      <c r="J11" s="21" t="s">
        <v>457</v>
      </c>
      <c r="K11" s="24">
        <v>200</v>
      </c>
      <c r="L11" s="24">
        <v>130</v>
      </c>
      <c r="M11" s="24">
        <v>150</v>
      </c>
    </row>
    <row r="12" spans="1:13" ht="15" thickTop="1" x14ac:dyDescent="0.3">
      <c r="E12" s="34"/>
      <c r="F12" s="34"/>
      <c r="G12" s="34"/>
      <c r="I12" s="33"/>
      <c r="J12" s="21" t="s">
        <v>458</v>
      </c>
      <c r="K12" s="24">
        <v>-300</v>
      </c>
      <c r="L12" s="24">
        <v>-600</v>
      </c>
      <c r="M12" s="24">
        <v>-250</v>
      </c>
    </row>
    <row r="13" spans="1:13" x14ac:dyDescent="0.3">
      <c r="A13" s="33" t="s">
        <v>412</v>
      </c>
      <c r="D13" s="91"/>
      <c r="E13" s="92">
        <v>1</v>
      </c>
      <c r="F13" s="92">
        <v>2</v>
      </c>
      <c r="G13" s="92">
        <v>3</v>
      </c>
      <c r="I13" s="33"/>
      <c r="J13" s="21" t="s">
        <v>459</v>
      </c>
      <c r="K13" s="24">
        <v>-500</v>
      </c>
      <c r="L13" s="24">
        <v>-200</v>
      </c>
      <c r="M13" s="24">
        <v>-400</v>
      </c>
    </row>
    <row r="14" spans="1:13" ht="15" thickBot="1" x14ac:dyDescent="0.35">
      <c r="C14" s="21" t="s">
        <v>77</v>
      </c>
      <c r="E14" s="34">
        <f>D19</f>
        <v>3000</v>
      </c>
      <c r="F14" s="34">
        <f t="shared" ref="F14:G14" si="4">E19</f>
        <v>3035</v>
      </c>
      <c r="G14" s="34">
        <f t="shared" si="4"/>
        <v>2824</v>
      </c>
      <c r="I14" s="33"/>
      <c r="J14" s="84" t="s">
        <v>460</v>
      </c>
      <c r="K14" s="84">
        <f>SUM(K11:K13)</f>
        <v>-600</v>
      </c>
      <c r="L14" s="84">
        <f>SUM(L11:L13)</f>
        <v>-670</v>
      </c>
      <c r="M14" s="84">
        <f>SUM(M11:M13)</f>
        <v>-500</v>
      </c>
    </row>
    <row r="15" spans="1:13" x14ac:dyDescent="0.3">
      <c r="C15" s="21" t="s">
        <v>84</v>
      </c>
      <c r="E15" s="34">
        <f>-K8</f>
        <v>200</v>
      </c>
      <c r="F15" s="34">
        <f>-L8</f>
        <v>150</v>
      </c>
      <c r="G15" s="34">
        <f>-M8</f>
        <v>250</v>
      </c>
      <c r="J15" s="21" t="s">
        <v>17</v>
      </c>
      <c r="K15" s="21">
        <f>K7+K10+K14</f>
        <v>45</v>
      </c>
      <c r="L15" s="21">
        <f t="shared" ref="L15:M15" si="5">L7+L10+L14</f>
        <v>-3</v>
      </c>
      <c r="M15" s="21">
        <f t="shared" si="5"/>
        <v>8</v>
      </c>
    </row>
    <row r="16" spans="1:13" x14ac:dyDescent="0.3">
      <c r="C16" s="21" t="s">
        <v>463</v>
      </c>
      <c r="E16" s="34">
        <f>-K9+K6</f>
        <v>-25</v>
      </c>
      <c r="F16" s="34">
        <f t="shared" ref="F16:G16" si="6">-L9+L6</f>
        <v>-13</v>
      </c>
      <c r="G16" s="34">
        <f t="shared" si="6"/>
        <v>-7</v>
      </c>
    </row>
    <row r="17" spans="1:7" x14ac:dyDescent="0.3">
      <c r="C17" s="21" t="s">
        <v>452</v>
      </c>
      <c r="E17" s="34">
        <f>-E6</f>
        <v>0</v>
      </c>
      <c r="F17" s="34">
        <f>-F6</f>
        <v>-159</v>
      </c>
      <c r="G17" s="34">
        <f>-G6</f>
        <v>-20</v>
      </c>
    </row>
    <row r="18" spans="1:7" x14ac:dyDescent="0.3">
      <c r="C18" s="21" t="s">
        <v>24</v>
      </c>
      <c r="E18" s="34">
        <f>-E5</f>
        <v>-140</v>
      </c>
      <c r="F18" s="34">
        <f>-F5</f>
        <v>-189</v>
      </c>
      <c r="G18" s="34">
        <f>-G5</f>
        <v>-219</v>
      </c>
    </row>
    <row r="19" spans="1:7" x14ac:dyDescent="0.3">
      <c r="C19" s="21" t="s">
        <v>79</v>
      </c>
      <c r="D19" s="37">
        <v>3000</v>
      </c>
      <c r="E19" s="34">
        <f>SUM(E14:E18)</f>
        <v>3035</v>
      </c>
      <c r="F19" s="34">
        <f>SUM(F14:F18)</f>
        <v>2824</v>
      </c>
      <c r="G19" s="34">
        <f>SUM(G14:G18)</f>
        <v>2828</v>
      </c>
    </row>
    <row r="20" spans="1:7" x14ac:dyDescent="0.3">
      <c r="A20" s="21"/>
    </row>
    <row r="21" spans="1:7" x14ac:dyDescent="0.3">
      <c r="A21" s="21"/>
    </row>
    <row r="22" spans="1:7" x14ac:dyDescent="0.3">
      <c r="A22" s="21"/>
    </row>
    <row r="23" spans="1:7" x14ac:dyDescent="0.3">
      <c r="A23" s="2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9"/>
  <sheetViews>
    <sheetView zoomScale="80" zoomScaleNormal="80" workbookViewId="0">
      <selection activeCell="M5" sqref="M5"/>
    </sheetView>
  </sheetViews>
  <sheetFormatPr defaultRowHeight="14.4" x14ac:dyDescent="0.3"/>
  <cols>
    <col min="2" max="2" width="26.5546875" customWidth="1"/>
    <col min="4" max="4" width="9.21875" bestFit="1" customWidth="1"/>
    <col min="5" max="5" width="9.6640625" bestFit="1" customWidth="1"/>
    <col min="6" max="7" width="9.5546875" customWidth="1"/>
    <col min="8" max="8" width="16.77734375" customWidth="1"/>
    <col min="12" max="12" width="9.21875" customWidth="1"/>
  </cols>
  <sheetData>
    <row r="1" spans="2:19" x14ac:dyDescent="0.3">
      <c r="D1" s="2" t="s">
        <v>22</v>
      </c>
      <c r="E1" s="2" t="s">
        <v>23</v>
      </c>
      <c r="F1" s="2" t="s">
        <v>23</v>
      </c>
      <c r="G1" s="2"/>
      <c r="I1" s="2" t="s">
        <v>328</v>
      </c>
      <c r="J1" s="2" t="s">
        <v>329</v>
      </c>
      <c r="K1" s="2" t="s">
        <v>328</v>
      </c>
    </row>
    <row r="2" spans="2:19" x14ac:dyDescent="0.3">
      <c r="B2" t="s">
        <v>2</v>
      </c>
      <c r="D2">
        <v>300</v>
      </c>
      <c r="E2">
        <f>D9</f>
        <v>75</v>
      </c>
      <c r="F2">
        <f>E9</f>
        <v>-50</v>
      </c>
      <c r="H2" t="s">
        <v>36</v>
      </c>
      <c r="I2">
        <v>250</v>
      </c>
      <c r="J2">
        <v>4</v>
      </c>
      <c r="K2">
        <f>-D6/4</f>
        <v>62.5</v>
      </c>
    </row>
    <row r="4" spans="2:19" x14ac:dyDescent="0.3">
      <c r="B4" t="s">
        <v>0</v>
      </c>
      <c r="D4">
        <v>200</v>
      </c>
      <c r="E4">
        <v>400</v>
      </c>
      <c r="F4" s="70">
        <v>600</v>
      </c>
      <c r="H4" t="s">
        <v>83</v>
      </c>
    </row>
    <row r="5" spans="2:19" x14ac:dyDescent="0.3">
      <c r="B5" t="s">
        <v>1</v>
      </c>
      <c r="D5">
        <v>-100</v>
      </c>
      <c r="E5">
        <v>-200</v>
      </c>
      <c r="F5" s="70">
        <v>-300</v>
      </c>
      <c r="H5" t="s">
        <v>320</v>
      </c>
      <c r="J5" s="16">
        <f>I10</f>
        <v>0</v>
      </c>
      <c r="K5" s="16">
        <f>J8</f>
        <v>250</v>
      </c>
      <c r="L5" s="16">
        <f>K8</f>
        <v>500</v>
      </c>
    </row>
    <row r="6" spans="2:19" x14ac:dyDescent="0.3">
      <c r="B6" t="s">
        <v>18</v>
      </c>
      <c r="D6">
        <v>-250</v>
      </c>
      <c r="E6">
        <v>-250</v>
      </c>
      <c r="F6" s="70">
        <v>-300</v>
      </c>
      <c r="H6" t="s">
        <v>84</v>
      </c>
      <c r="J6" s="16">
        <f>-D6</f>
        <v>250</v>
      </c>
      <c r="K6" s="16">
        <f>-E6</f>
        <v>250</v>
      </c>
      <c r="L6" s="16">
        <f>-F6</f>
        <v>300</v>
      </c>
    </row>
    <row r="7" spans="2:19" x14ac:dyDescent="0.3">
      <c r="B7" t="s">
        <v>13</v>
      </c>
      <c r="D7">
        <v>-75</v>
      </c>
      <c r="E7">
        <v>-75</v>
      </c>
      <c r="F7">
        <v>-75</v>
      </c>
      <c r="H7" t="s">
        <v>330</v>
      </c>
      <c r="J7" s="16"/>
      <c r="K7" s="16"/>
      <c r="L7" s="16"/>
    </row>
    <row r="8" spans="2:19" x14ac:dyDescent="0.3">
      <c r="B8" t="s">
        <v>331</v>
      </c>
      <c r="F8">
        <f>S12</f>
        <v>-65</v>
      </c>
      <c r="H8" s="17" t="s">
        <v>79</v>
      </c>
      <c r="I8" s="17"/>
      <c r="J8" s="67">
        <f>J5+J6</f>
        <v>250</v>
      </c>
      <c r="K8" s="67">
        <f>K5+K6+K7</f>
        <v>500</v>
      </c>
      <c r="L8" s="67">
        <f>L5+L6</f>
        <v>800</v>
      </c>
    </row>
    <row r="9" spans="2:19" x14ac:dyDescent="0.3">
      <c r="B9" t="s">
        <v>3</v>
      </c>
      <c r="D9">
        <f>SUM(D2:D8)</f>
        <v>75</v>
      </c>
      <c r="E9">
        <f>SUM(E2:E8)</f>
        <v>-50</v>
      </c>
      <c r="F9">
        <f>SUM(F2:F8)</f>
        <v>-190</v>
      </c>
      <c r="J9" s="16"/>
      <c r="K9" s="16"/>
      <c r="L9" s="16"/>
      <c r="P9" t="s">
        <v>332</v>
      </c>
      <c r="R9" s="2" t="s">
        <v>335</v>
      </c>
      <c r="S9" t="s">
        <v>336</v>
      </c>
    </row>
    <row r="10" spans="2:19" ht="15" thickBot="1" x14ac:dyDescent="0.35">
      <c r="B10" s="1" t="s">
        <v>28</v>
      </c>
      <c r="C10" s="1"/>
      <c r="D10" s="1">
        <f>D9-D2</f>
        <v>-225</v>
      </c>
      <c r="E10" s="1">
        <f>E9-E2</f>
        <v>-125</v>
      </c>
      <c r="F10" s="1">
        <f>F9-F2</f>
        <v>-140</v>
      </c>
      <c r="G10" s="6"/>
      <c r="H10" t="s">
        <v>36</v>
      </c>
      <c r="J10" s="16"/>
      <c r="K10" s="16"/>
      <c r="L10" s="16"/>
      <c r="P10" t="s">
        <v>333</v>
      </c>
      <c r="R10">
        <v>1</v>
      </c>
      <c r="S10">
        <v>-20</v>
      </c>
    </row>
    <row r="11" spans="2:19" x14ac:dyDescent="0.3">
      <c r="H11" t="s">
        <v>321</v>
      </c>
      <c r="J11" s="16"/>
      <c r="K11" s="16"/>
      <c r="L11" s="16"/>
      <c r="P11" t="s">
        <v>333</v>
      </c>
      <c r="R11">
        <v>2</v>
      </c>
      <c r="S11">
        <v>-40</v>
      </c>
    </row>
    <row r="12" spans="2:19" x14ac:dyDescent="0.3">
      <c r="B12" t="s">
        <v>4</v>
      </c>
      <c r="C12" s="2" t="s">
        <v>29</v>
      </c>
      <c r="D12" s="2" t="s">
        <v>30</v>
      </c>
      <c r="E12" s="2" t="s">
        <v>31</v>
      </c>
      <c r="F12" s="2" t="s">
        <v>31</v>
      </c>
      <c r="G12" s="2"/>
      <c r="H12" t="s">
        <v>77</v>
      </c>
      <c r="J12" s="16">
        <f>I14</f>
        <v>0</v>
      </c>
      <c r="K12" s="16">
        <f>J14</f>
        <v>62.5</v>
      </c>
      <c r="L12" s="16">
        <f>K14</f>
        <v>187.5</v>
      </c>
      <c r="P12" t="s">
        <v>334</v>
      </c>
      <c r="R12">
        <v>3</v>
      </c>
      <c r="S12">
        <v>-65</v>
      </c>
    </row>
    <row r="13" spans="2:19" x14ac:dyDescent="0.3">
      <c r="B13" t="s">
        <v>5</v>
      </c>
      <c r="C13">
        <v>300</v>
      </c>
      <c r="D13" s="19">
        <f>D9</f>
        <v>75</v>
      </c>
      <c r="E13" s="19">
        <f>E9</f>
        <v>-50</v>
      </c>
      <c r="F13" s="19">
        <f>F9</f>
        <v>-190</v>
      </c>
      <c r="H13" t="s">
        <v>89</v>
      </c>
      <c r="J13" s="16">
        <f>-D24</f>
        <v>62.5</v>
      </c>
      <c r="K13" s="16">
        <f>-E24</f>
        <v>125</v>
      </c>
      <c r="L13" s="16">
        <f>-F24</f>
        <v>154.16666666666666</v>
      </c>
    </row>
    <row r="14" spans="2:19" x14ac:dyDescent="0.3">
      <c r="B14" t="s">
        <v>40</v>
      </c>
      <c r="D14" s="19">
        <f>J8</f>
        <v>250</v>
      </c>
      <c r="E14" s="19">
        <f>K8</f>
        <v>500</v>
      </c>
      <c r="F14" s="19">
        <f>L8</f>
        <v>800</v>
      </c>
      <c r="H14" s="17" t="s">
        <v>322</v>
      </c>
      <c r="I14" s="17"/>
      <c r="J14" s="67">
        <f>SUM(J12:J13)</f>
        <v>62.5</v>
      </c>
      <c r="K14" s="67">
        <f>SUM(K12:K13)</f>
        <v>187.5</v>
      </c>
      <c r="L14" s="67">
        <f>SUM(L12:L13)</f>
        <v>341.66666666666663</v>
      </c>
    </row>
    <row r="15" spans="2:19" x14ac:dyDescent="0.3">
      <c r="B15" t="s">
        <v>41</v>
      </c>
      <c r="C15">
        <v>0</v>
      </c>
      <c r="D15" s="19">
        <f>C15-D24</f>
        <v>62.5</v>
      </c>
      <c r="E15" s="19">
        <f>D15-E24</f>
        <v>187.5</v>
      </c>
      <c r="F15" s="19">
        <f>E15-F24</f>
        <v>341.66666666666663</v>
      </c>
      <c r="G15" s="5"/>
      <c r="J15" s="16"/>
      <c r="K15" s="16"/>
      <c r="L15" s="16"/>
    </row>
    <row r="16" spans="2:19" x14ac:dyDescent="0.3">
      <c r="B16" s="17" t="s">
        <v>91</v>
      </c>
      <c r="C16" s="17">
        <f>C14-C15</f>
        <v>0</v>
      </c>
      <c r="D16" s="59">
        <f>D14-D15</f>
        <v>187.5</v>
      </c>
      <c r="E16" s="59">
        <f>E14-E15</f>
        <v>312.5</v>
      </c>
      <c r="F16" s="59">
        <f>F14-F15</f>
        <v>458.33333333333337</v>
      </c>
      <c r="G16" s="6"/>
      <c r="H16" t="s">
        <v>260</v>
      </c>
      <c r="J16" s="16"/>
      <c r="K16" s="16"/>
      <c r="L16" s="16"/>
    </row>
    <row r="17" spans="2:12" x14ac:dyDescent="0.3">
      <c r="B17" s="15" t="s">
        <v>337</v>
      </c>
      <c r="D17">
        <f>S10</f>
        <v>-20</v>
      </c>
      <c r="E17">
        <f>S11</f>
        <v>-40</v>
      </c>
      <c r="F17">
        <v>0</v>
      </c>
      <c r="G17" s="6"/>
      <c r="H17" t="s">
        <v>77</v>
      </c>
      <c r="J17" s="16">
        <f>I20</f>
        <v>300</v>
      </c>
      <c r="K17" s="16">
        <f>J20</f>
        <v>242.5</v>
      </c>
      <c r="L17" s="16">
        <f>K20</f>
        <v>222.5</v>
      </c>
    </row>
    <row r="18" spans="2:12" x14ac:dyDescent="0.3">
      <c r="B18" s="10" t="s">
        <v>323</v>
      </c>
      <c r="C18" s="11">
        <f>SUM(C13:C15)</f>
        <v>300</v>
      </c>
      <c r="D18" s="65">
        <f>D13+D14-D15+D17</f>
        <v>242.5</v>
      </c>
      <c r="E18" s="65">
        <f>E13+E14-E15+E17</f>
        <v>222.5</v>
      </c>
      <c r="F18" s="65">
        <f>F13+F14-F15+F17</f>
        <v>268.33333333333337</v>
      </c>
      <c r="H18" t="s">
        <v>261</v>
      </c>
      <c r="J18" s="16">
        <f>D27</f>
        <v>17.5</v>
      </c>
      <c r="K18" s="16">
        <f>E27</f>
        <v>55</v>
      </c>
      <c r="L18" s="16">
        <f>F27</f>
        <v>120.83333333333334</v>
      </c>
    </row>
    <row r="19" spans="2:12" ht="15" thickBot="1" x14ac:dyDescent="0.35">
      <c r="B19" s="8" t="s">
        <v>324</v>
      </c>
      <c r="C19" s="8">
        <v>300</v>
      </c>
      <c r="D19" s="20">
        <f>J20</f>
        <v>242.5</v>
      </c>
      <c r="E19" s="20">
        <f>K20</f>
        <v>222.5</v>
      </c>
      <c r="F19" s="20">
        <f>L20</f>
        <v>268.33333333333337</v>
      </c>
      <c r="G19" s="2"/>
      <c r="H19" t="s">
        <v>262</v>
      </c>
      <c r="J19" s="16">
        <f>-D33</f>
        <v>75</v>
      </c>
      <c r="K19" s="16">
        <f>-E33</f>
        <v>75</v>
      </c>
      <c r="L19" s="16">
        <f>-F33</f>
        <v>75</v>
      </c>
    </row>
    <row r="20" spans="2:12" ht="15" thickTop="1" x14ac:dyDescent="0.3">
      <c r="D20" s="19"/>
      <c r="E20" s="19"/>
      <c r="F20" s="19"/>
      <c r="H20" s="17" t="s">
        <v>79</v>
      </c>
      <c r="I20" s="17">
        <f>C19</f>
        <v>300</v>
      </c>
      <c r="J20" s="67">
        <f>J17+J18-J19</f>
        <v>242.5</v>
      </c>
      <c r="K20" s="67">
        <f>K17+K18-K19</f>
        <v>222.5</v>
      </c>
      <c r="L20" s="67">
        <f>L17+L18-L19</f>
        <v>268.33333333333337</v>
      </c>
    </row>
    <row r="21" spans="2:12" x14ac:dyDescent="0.3">
      <c r="B21" t="s">
        <v>7</v>
      </c>
      <c r="D21" s="66" t="s">
        <v>22</v>
      </c>
      <c r="E21" s="66" t="s">
        <v>23</v>
      </c>
      <c r="F21" s="66" t="s">
        <v>23</v>
      </c>
      <c r="J21" s="16"/>
      <c r="K21" s="16"/>
      <c r="L21" s="16"/>
    </row>
    <row r="22" spans="2:12" x14ac:dyDescent="0.3">
      <c r="B22" t="s">
        <v>8</v>
      </c>
      <c r="D22" s="19">
        <v>200</v>
      </c>
      <c r="E22" s="19">
        <f>E4</f>
        <v>400</v>
      </c>
      <c r="F22" s="19">
        <f>F4</f>
        <v>600</v>
      </c>
      <c r="H22" t="s">
        <v>325</v>
      </c>
      <c r="I22" s="6"/>
      <c r="J22" s="68"/>
      <c r="K22" s="68"/>
      <c r="L22" s="16"/>
    </row>
    <row r="23" spans="2:12" x14ac:dyDescent="0.3">
      <c r="B23" t="s">
        <v>9</v>
      </c>
      <c r="D23" s="19">
        <f>D5</f>
        <v>-100</v>
      </c>
      <c r="E23" s="19">
        <f>E5</f>
        <v>-200</v>
      </c>
      <c r="F23" s="19">
        <f>F5</f>
        <v>-300</v>
      </c>
      <c r="G23" s="6"/>
      <c r="H23" s="15" t="s">
        <v>8</v>
      </c>
      <c r="J23" s="16">
        <f t="shared" ref="J23:L24" si="0">D22</f>
        <v>200</v>
      </c>
      <c r="K23" s="16">
        <f t="shared" si="0"/>
        <v>400</v>
      </c>
      <c r="L23" s="16">
        <f t="shared" si="0"/>
        <v>600</v>
      </c>
    </row>
    <row r="24" spans="2:12" x14ac:dyDescent="0.3">
      <c r="B24" t="s">
        <v>24</v>
      </c>
      <c r="D24" s="19">
        <f>-K2</f>
        <v>-62.5</v>
      </c>
      <c r="E24" s="19">
        <f>D24*2</f>
        <v>-125</v>
      </c>
      <c r="F24" s="19">
        <f>D24*3+100/3</f>
        <v>-154.16666666666666</v>
      </c>
      <c r="H24" s="15" t="s">
        <v>326</v>
      </c>
      <c r="J24" s="16">
        <f t="shared" si="0"/>
        <v>-100</v>
      </c>
      <c r="K24" s="16">
        <f t="shared" si="0"/>
        <v>-200</v>
      </c>
      <c r="L24" s="16">
        <f t="shared" si="0"/>
        <v>-300</v>
      </c>
    </row>
    <row r="25" spans="2:12" ht="15" thickBot="1" x14ac:dyDescent="0.35">
      <c r="B25" s="71" t="s">
        <v>338</v>
      </c>
      <c r="C25" s="71"/>
      <c r="D25" s="72">
        <f>D17</f>
        <v>-20</v>
      </c>
      <c r="E25" s="72">
        <f>E17-D17</f>
        <v>-20</v>
      </c>
      <c r="F25" s="72">
        <f>F17-E17</f>
        <v>40</v>
      </c>
      <c r="G25" s="2"/>
      <c r="H25" s="63" t="s">
        <v>34</v>
      </c>
      <c r="I25" s="8"/>
      <c r="J25" s="69">
        <f>J23+J24</f>
        <v>100</v>
      </c>
      <c r="K25" s="69">
        <f>K23+K24</f>
        <v>200</v>
      </c>
      <c r="L25" s="69">
        <f>L23+L24</f>
        <v>300</v>
      </c>
    </row>
    <row r="26" spans="2:12" ht="15" thickTop="1" x14ac:dyDescent="0.3">
      <c r="B26" s="71" t="s">
        <v>339</v>
      </c>
      <c r="C26" s="71"/>
      <c r="D26" s="71"/>
      <c r="E26" s="71"/>
      <c r="F26" s="71">
        <f>F8</f>
        <v>-65</v>
      </c>
      <c r="H26" s="15" t="s">
        <v>81</v>
      </c>
      <c r="I26" s="6"/>
      <c r="J26" s="16">
        <f>D6</f>
        <v>-250</v>
      </c>
      <c r="K26" s="16">
        <f>E6</f>
        <v>-250</v>
      </c>
      <c r="L26" s="16">
        <f>F6</f>
        <v>-300</v>
      </c>
    </row>
    <row r="27" spans="2:12" ht="15" thickBot="1" x14ac:dyDescent="0.35">
      <c r="B27" s="8" t="s">
        <v>302</v>
      </c>
      <c r="C27" s="8"/>
      <c r="D27" s="20">
        <f>D22+D23+D24+D25</f>
        <v>17.5</v>
      </c>
      <c r="E27" s="20">
        <f>E22+E23+E24+E25</f>
        <v>55</v>
      </c>
      <c r="F27" s="20">
        <f>F22+F23+F24+F25+F26</f>
        <v>120.83333333333334</v>
      </c>
      <c r="J27" s="16"/>
      <c r="K27" s="16"/>
      <c r="L27" s="16"/>
    </row>
    <row r="28" spans="2:12" ht="15" thickTop="1" x14ac:dyDescent="0.3">
      <c r="H28" s="6" t="s">
        <v>39</v>
      </c>
      <c r="J28" s="16"/>
      <c r="K28" s="16"/>
      <c r="L28" s="16"/>
    </row>
    <row r="29" spans="2:12" s="6" customFormat="1" x14ac:dyDescent="0.3">
      <c r="B29" t="s">
        <v>14</v>
      </c>
      <c r="C29"/>
      <c r="D29" s="66" t="s">
        <v>22</v>
      </c>
      <c r="E29" s="66" t="s">
        <v>23</v>
      </c>
      <c r="F29" s="66" t="s">
        <v>23</v>
      </c>
      <c r="H29" s="15" t="s">
        <v>302</v>
      </c>
      <c r="I29"/>
      <c r="J29" s="16">
        <f>D27</f>
        <v>17.5</v>
      </c>
      <c r="K29" s="16">
        <f>E27</f>
        <v>55</v>
      </c>
      <c r="L29" s="16">
        <f>F27</f>
        <v>120.83333333333334</v>
      </c>
    </row>
    <row r="30" spans="2:12" x14ac:dyDescent="0.3">
      <c r="B30" t="s">
        <v>15</v>
      </c>
      <c r="D30" s="19">
        <f>D27</f>
        <v>17.5</v>
      </c>
      <c r="E30" s="19">
        <f>E27</f>
        <v>55</v>
      </c>
      <c r="F30" s="19">
        <f>F27</f>
        <v>120.83333333333334</v>
      </c>
      <c r="G30" s="6"/>
      <c r="H30" t="s">
        <v>26</v>
      </c>
      <c r="J30" s="68">
        <f>-D24</f>
        <v>62.5</v>
      </c>
      <c r="K30" s="68">
        <f>-E24</f>
        <v>125</v>
      </c>
      <c r="L30" s="68">
        <f>-F24</f>
        <v>154.16666666666666</v>
      </c>
    </row>
    <row r="31" spans="2:12" ht="15" thickBot="1" x14ac:dyDescent="0.35">
      <c r="B31" t="s">
        <v>26</v>
      </c>
      <c r="D31" s="19">
        <f>K2</f>
        <v>62.5</v>
      </c>
      <c r="E31" s="19">
        <f>D31</f>
        <v>62.5</v>
      </c>
      <c r="F31" s="19">
        <f>E31</f>
        <v>62.5</v>
      </c>
      <c r="H31" s="8" t="s">
        <v>327</v>
      </c>
      <c r="I31" s="8"/>
      <c r="J31" s="69">
        <f>J29+J30</f>
        <v>80</v>
      </c>
      <c r="K31" s="69">
        <f>K29+K30</f>
        <v>180</v>
      </c>
      <c r="L31" s="69">
        <f>L29+L30</f>
        <v>275</v>
      </c>
    </row>
    <row r="32" spans="2:12" ht="15" thickTop="1" x14ac:dyDescent="0.3">
      <c r="B32" t="s">
        <v>27</v>
      </c>
      <c r="D32" s="19">
        <f t="shared" ref="D32:F33" si="1">D6</f>
        <v>-250</v>
      </c>
      <c r="E32" s="19">
        <f t="shared" si="1"/>
        <v>-250</v>
      </c>
      <c r="F32" s="19">
        <f t="shared" si="1"/>
        <v>-300</v>
      </c>
      <c r="H32" s="15" t="s">
        <v>81</v>
      </c>
      <c r="I32" s="6"/>
      <c r="J32" s="16">
        <f>D6</f>
        <v>-250</v>
      </c>
      <c r="K32" s="16">
        <f>E6</f>
        <v>-250</v>
      </c>
      <c r="L32" s="16">
        <f>F6</f>
        <v>-300</v>
      </c>
    </row>
    <row r="33" spans="2:6" x14ac:dyDescent="0.3">
      <c r="B33" s="6" t="s">
        <v>16</v>
      </c>
      <c r="C33" s="6"/>
      <c r="D33" s="62">
        <f t="shared" si="1"/>
        <v>-75</v>
      </c>
      <c r="E33" s="62">
        <f t="shared" si="1"/>
        <v>-75</v>
      </c>
      <c r="F33" s="62">
        <f t="shared" si="1"/>
        <v>-75</v>
      </c>
    </row>
    <row r="34" spans="2:6" ht="15" thickBot="1" x14ac:dyDescent="0.35">
      <c r="B34" s="8" t="s">
        <v>17</v>
      </c>
      <c r="C34" s="8"/>
      <c r="D34" s="20">
        <f>SUM(D30:D33)</f>
        <v>-245</v>
      </c>
      <c r="E34" s="20">
        <f>SUM(E30:E33)</f>
        <v>-207.5</v>
      </c>
      <c r="F34" s="20">
        <f>SUM(F30:F33)</f>
        <v>-191.66666666666666</v>
      </c>
    </row>
    <row r="35" spans="2:6" ht="15" thickTop="1" x14ac:dyDescent="0.3">
      <c r="B35" s="6"/>
      <c r="C35" s="6"/>
      <c r="D35" s="62"/>
      <c r="E35" s="62"/>
      <c r="F35" s="62"/>
    </row>
    <row r="36" spans="2:6" x14ac:dyDescent="0.3">
      <c r="B36" t="s">
        <v>10</v>
      </c>
    </row>
    <row r="37" spans="2:6" x14ac:dyDescent="0.3">
      <c r="B37" t="s">
        <v>11</v>
      </c>
      <c r="D37">
        <f>D19</f>
        <v>242.5</v>
      </c>
    </row>
    <row r="38" spans="2:6" x14ac:dyDescent="0.3">
      <c r="B38" t="s">
        <v>12</v>
      </c>
      <c r="D38">
        <f>-C19</f>
        <v>-300</v>
      </c>
    </row>
    <row r="39" spans="2:6" ht="15" thickBot="1" x14ac:dyDescent="0.35">
      <c r="B39" s="1" t="s">
        <v>10</v>
      </c>
      <c r="C39" s="1"/>
      <c r="D39" s="1">
        <f>D37+D38</f>
        <v>-57.5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23"/>
  <sheetViews>
    <sheetView workbookViewId="0">
      <selection activeCell="O9" sqref="O9"/>
    </sheetView>
  </sheetViews>
  <sheetFormatPr defaultRowHeight="14.4" x14ac:dyDescent="0.3"/>
  <cols>
    <col min="3" max="3" width="26" customWidth="1"/>
  </cols>
  <sheetData>
    <row r="4" spans="3:12" x14ac:dyDescent="0.3">
      <c r="E4">
        <v>1</v>
      </c>
      <c r="F4">
        <v>2</v>
      </c>
      <c r="G4">
        <v>3</v>
      </c>
      <c r="H4">
        <v>4</v>
      </c>
      <c r="I4">
        <v>5</v>
      </c>
      <c r="J4">
        <v>6</v>
      </c>
      <c r="K4">
        <v>7</v>
      </c>
      <c r="L4">
        <v>8</v>
      </c>
    </row>
    <row r="6" spans="3:12" x14ac:dyDescent="0.3">
      <c r="C6" t="s">
        <v>8</v>
      </c>
      <c r="E6" s="3">
        <v>200</v>
      </c>
      <c r="F6" s="3">
        <f>E6*1.15</f>
        <v>229.99999999999997</v>
      </c>
      <c r="G6" s="3">
        <f t="shared" ref="G6:L6" si="0">F6*1.15</f>
        <v>264.49999999999994</v>
      </c>
      <c r="H6" s="3">
        <f t="shared" si="0"/>
        <v>304.1749999999999</v>
      </c>
      <c r="I6" s="3">
        <f t="shared" si="0"/>
        <v>349.80124999999987</v>
      </c>
      <c r="J6" s="3">
        <f t="shared" si="0"/>
        <v>402.27143749999982</v>
      </c>
      <c r="K6" s="3">
        <f t="shared" si="0"/>
        <v>462.61215312499974</v>
      </c>
      <c r="L6" s="3">
        <f t="shared" si="0"/>
        <v>532.00397609374966</v>
      </c>
    </row>
    <row r="7" spans="3:12" x14ac:dyDescent="0.3">
      <c r="C7" t="s">
        <v>251</v>
      </c>
      <c r="E7" s="3">
        <v>100</v>
      </c>
      <c r="F7" s="3">
        <f>E7*1.15</f>
        <v>114.99999999999999</v>
      </c>
      <c r="G7" s="3">
        <f t="shared" ref="G7:L7" si="1">F7*1.15</f>
        <v>132.24999999999997</v>
      </c>
      <c r="H7" s="3">
        <f t="shared" si="1"/>
        <v>152.08749999999995</v>
      </c>
      <c r="I7" s="3">
        <f t="shared" si="1"/>
        <v>174.90062499999993</v>
      </c>
      <c r="J7" s="3">
        <f t="shared" si="1"/>
        <v>201.13571874999991</v>
      </c>
      <c r="K7" s="3">
        <f t="shared" si="1"/>
        <v>231.30607656249987</v>
      </c>
      <c r="L7" s="3">
        <f t="shared" si="1"/>
        <v>266.00198804687483</v>
      </c>
    </row>
    <row r="8" spans="3:12" x14ac:dyDescent="0.3">
      <c r="C8" t="s">
        <v>252</v>
      </c>
      <c r="E8">
        <v>25</v>
      </c>
      <c r="F8">
        <v>25</v>
      </c>
      <c r="G8">
        <v>25</v>
      </c>
      <c r="H8">
        <v>25</v>
      </c>
      <c r="I8">
        <v>25</v>
      </c>
      <c r="J8">
        <v>25</v>
      </c>
      <c r="K8">
        <v>25</v>
      </c>
      <c r="L8">
        <v>25</v>
      </c>
    </row>
    <row r="9" spans="3:12" x14ac:dyDescent="0.3">
      <c r="C9" t="s">
        <v>241</v>
      </c>
      <c r="E9" s="27">
        <f>E8/365</f>
        <v>6.8493150684931503E-2</v>
      </c>
      <c r="F9" s="27">
        <f t="shared" ref="F9:L9" si="2">F8/365</f>
        <v>6.8493150684931503E-2</v>
      </c>
      <c r="G9" s="27">
        <f t="shared" si="2"/>
        <v>6.8493150684931503E-2</v>
      </c>
      <c r="H9" s="27">
        <f t="shared" si="2"/>
        <v>6.8493150684931503E-2</v>
      </c>
      <c r="I9" s="27">
        <f t="shared" si="2"/>
        <v>6.8493150684931503E-2</v>
      </c>
      <c r="J9" s="27">
        <f t="shared" si="2"/>
        <v>6.8493150684931503E-2</v>
      </c>
      <c r="K9" s="27">
        <f t="shared" si="2"/>
        <v>6.8493150684931503E-2</v>
      </c>
      <c r="L9" s="27">
        <f t="shared" si="2"/>
        <v>6.8493150684931503E-2</v>
      </c>
    </row>
    <row r="11" spans="3:12" x14ac:dyDescent="0.3">
      <c r="C11" t="s">
        <v>253</v>
      </c>
      <c r="E11">
        <v>0</v>
      </c>
      <c r="F11" s="3">
        <f>E14</f>
        <v>6.8493150684931505</v>
      </c>
      <c r="G11" s="3">
        <f t="shared" ref="G11:L11" si="3">F14</f>
        <v>7.8767123287671206</v>
      </c>
      <c r="H11" s="3">
        <f t="shared" si="3"/>
        <v>9.0582191780821883</v>
      </c>
      <c r="I11" s="3">
        <f t="shared" si="3"/>
        <v>10.416952054794514</v>
      </c>
      <c r="J11" s="3">
        <f t="shared" si="3"/>
        <v>11.97949486301369</v>
      </c>
      <c r="K11" s="3">
        <f t="shared" si="3"/>
        <v>13.776419092465742</v>
      </c>
      <c r="L11" s="3">
        <f t="shared" si="3"/>
        <v>15.842881956335601</v>
      </c>
    </row>
    <row r="12" spans="3:12" x14ac:dyDescent="0.3">
      <c r="C12" t="s">
        <v>256</v>
      </c>
      <c r="E12" s="3">
        <f t="shared" ref="E12:L12" si="4">E7*E9</f>
        <v>6.8493150684931505</v>
      </c>
      <c r="F12" s="3">
        <f t="shared" si="4"/>
        <v>7.8767123287671215</v>
      </c>
      <c r="G12" s="3">
        <f t="shared" si="4"/>
        <v>9.0582191780821901</v>
      </c>
      <c r="H12" s="3">
        <f t="shared" si="4"/>
        <v>10.416952054794516</v>
      </c>
      <c r="I12" s="3">
        <f t="shared" si="4"/>
        <v>11.979494863013693</v>
      </c>
      <c r="J12" s="3">
        <f t="shared" si="4"/>
        <v>13.776419092465746</v>
      </c>
      <c r="K12" s="3">
        <f t="shared" si="4"/>
        <v>15.842881956335606</v>
      </c>
      <c r="L12" s="3">
        <f t="shared" si="4"/>
        <v>18.219314249785945</v>
      </c>
    </row>
    <row r="13" spans="3:12" x14ac:dyDescent="0.3">
      <c r="C13" t="s">
        <v>257</v>
      </c>
      <c r="E13">
        <v>0</v>
      </c>
      <c r="F13" s="3">
        <f>E12</f>
        <v>6.8493150684931505</v>
      </c>
      <c r="G13" s="3">
        <f t="shared" ref="G13:L13" si="5">F12</f>
        <v>7.8767123287671215</v>
      </c>
      <c r="H13" s="3">
        <f t="shared" si="5"/>
        <v>9.0582191780821901</v>
      </c>
      <c r="I13" s="3">
        <f t="shared" si="5"/>
        <v>10.416952054794516</v>
      </c>
      <c r="J13" s="3">
        <f t="shared" si="5"/>
        <v>11.979494863013693</v>
      </c>
      <c r="K13" s="3">
        <f t="shared" si="5"/>
        <v>13.776419092465746</v>
      </c>
      <c r="L13" s="3">
        <f t="shared" si="5"/>
        <v>15.842881956335606</v>
      </c>
    </row>
    <row r="14" spans="3:12" x14ac:dyDescent="0.3">
      <c r="C14" t="s">
        <v>254</v>
      </c>
      <c r="E14" s="3">
        <f>E11+E12-E13</f>
        <v>6.8493150684931505</v>
      </c>
      <c r="F14" s="3">
        <f>F11+F12-F13</f>
        <v>7.8767123287671206</v>
      </c>
      <c r="G14" s="3">
        <f t="shared" ref="G14:L14" si="6">G11+G12-G13</f>
        <v>9.0582191780821883</v>
      </c>
      <c r="H14" s="3">
        <f t="shared" si="6"/>
        <v>10.416952054794514</v>
      </c>
      <c r="I14" s="3">
        <f t="shared" si="6"/>
        <v>11.97949486301369</v>
      </c>
      <c r="J14" s="3">
        <f t="shared" si="6"/>
        <v>13.776419092465742</v>
      </c>
      <c r="K14" s="3">
        <f t="shared" si="6"/>
        <v>15.842881956335601</v>
      </c>
      <c r="L14" s="3">
        <f t="shared" si="6"/>
        <v>18.219314249785942</v>
      </c>
    </row>
    <row r="16" spans="3:12" x14ac:dyDescent="0.3">
      <c r="C16" t="s">
        <v>255</v>
      </c>
      <c r="E16" s="3">
        <f>E14-D14</f>
        <v>6.8493150684931505</v>
      </c>
      <c r="F16" s="3">
        <f>F14-E14</f>
        <v>1.02739726027397</v>
      </c>
      <c r="G16" s="3">
        <f t="shared" ref="G16:L16" si="7">G14-F14</f>
        <v>1.1815068493150678</v>
      </c>
      <c r="H16" s="3">
        <f t="shared" si="7"/>
        <v>1.3587328767123257</v>
      </c>
      <c r="I16" s="3">
        <f t="shared" si="7"/>
        <v>1.5625428082191757</v>
      </c>
      <c r="J16" s="3">
        <f t="shared" si="7"/>
        <v>1.7969242294520527</v>
      </c>
      <c r="K16" s="3">
        <f t="shared" si="7"/>
        <v>2.0664628638698588</v>
      </c>
      <c r="L16" s="3">
        <f t="shared" si="7"/>
        <v>2.3764322934503408</v>
      </c>
    </row>
    <row r="17" spans="3:12" x14ac:dyDescent="0.3">
      <c r="F17" s="3"/>
      <c r="G17" s="3"/>
      <c r="H17" s="3"/>
      <c r="I17" s="3"/>
      <c r="J17" s="3"/>
      <c r="K17" s="3"/>
      <c r="L17" s="3"/>
    </row>
    <row r="18" spans="3:12" x14ac:dyDescent="0.3">
      <c r="C18" t="s">
        <v>247</v>
      </c>
      <c r="E18" s="3">
        <f>E6-E7-E12</f>
        <v>93.150684931506845</v>
      </c>
      <c r="F18" s="3">
        <f t="shared" ref="F18:L18" si="8">F6-F7-F12</f>
        <v>107.12328767123286</v>
      </c>
      <c r="G18" s="3">
        <f t="shared" si="8"/>
        <v>123.19178082191777</v>
      </c>
      <c r="H18" s="3">
        <f t="shared" si="8"/>
        <v>141.67054794520544</v>
      </c>
      <c r="I18" s="3">
        <f t="shared" si="8"/>
        <v>162.92113013698625</v>
      </c>
      <c r="J18" s="3">
        <f t="shared" si="8"/>
        <v>187.35929965753417</v>
      </c>
      <c r="K18" s="3">
        <f t="shared" si="8"/>
        <v>215.46319460616425</v>
      </c>
      <c r="L18" s="3">
        <f t="shared" si="8"/>
        <v>247.78267379708888</v>
      </c>
    </row>
    <row r="20" spans="3:12" x14ac:dyDescent="0.3">
      <c r="C20" t="s">
        <v>248</v>
      </c>
      <c r="E20" s="3">
        <f>E7</f>
        <v>100</v>
      </c>
      <c r="F20" s="3">
        <f t="shared" ref="F20:L20" si="9">F7</f>
        <v>114.99999999999999</v>
      </c>
      <c r="G20" s="3">
        <f t="shared" si="9"/>
        <v>132.24999999999997</v>
      </c>
      <c r="H20" s="3">
        <f t="shared" si="9"/>
        <v>152.08749999999995</v>
      </c>
      <c r="I20" s="3">
        <f t="shared" si="9"/>
        <v>174.90062499999993</v>
      </c>
      <c r="J20" s="3">
        <f t="shared" si="9"/>
        <v>201.13571874999991</v>
      </c>
      <c r="K20" s="3">
        <f t="shared" si="9"/>
        <v>231.30607656249987</v>
      </c>
      <c r="L20" s="3">
        <f t="shared" si="9"/>
        <v>266.00198804687483</v>
      </c>
    </row>
    <row r="21" spans="3:12" x14ac:dyDescent="0.3">
      <c r="C21" t="s">
        <v>258</v>
      </c>
      <c r="E21" s="3">
        <f>E16</f>
        <v>6.8493150684931505</v>
      </c>
      <c r="F21" s="3">
        <f>F16</f>
        <v>1.02739726027397</v>
      </c>
      <c r="G21" s="3">
        <f t="shared" ref="G21:L21" si="10">G16</f>
        <v>1.1815068493150678</v>
      </c>
      <c r="H21" s="3">
        <f t="shared" si="10"/>
        <v>1.3587328767123257</v>
      </c>
      <c r="I21" s="3">
        <f t="shared" si="10"/>
        <v>1.5625428082191757</v>
      </c>
      <c r="J21" s="3">
        <f t="shared" si="10"/>
        <v>1.7969242294520527</v>
      </c>
      <c r="K21" s="3">
        <f t="shared" si="10"/>
        <v>2.0664628638698588</v>
      </c>
      <c r="L21" s="3">
        <f t="shared" si="10"/>
        <v>2.3764322934503408</v>
      </c>
    </row>
    <row r="22" spans="3:12" ht="15" thickBot="1" x14ac:dyDescent="0.35">
      <c r="C22" s="8" t="s">
        <v>250</v>
      </c>
      <c r="D22" s="8"/>
      <c r="E22" s="12">
        <f>E20+E21</f>
        <v>106.84931506849315</v>
      </c>
      <c r="F22" s="12">
        <f t="shared" ref="F22:L22" si="11">F20+F21</f>
        <v>116.02739726027396</v>
      </c>
      <c r="G22" s="12">
        <f t="shared" si="11"/>
        <v>133.43150684931504</v>
      </c>
      <c r="H22" s="12">
        <f t="shared" si="11"/>
        <v>153.44623287671229</v>
      </c>
      <c r="I22" s="12">
        <f t="shared" si="11"/>
        <v>176.46316780821911</v>
      </c>
      <c r="J22" s="12">
        <f t="shared" si="11"/>
        <v>202.93264297945197</v>
      </c>
      <c r="K22" s="12">
        <f t="shared" si="11"/>
        <v>233.37253942636971</v>
      </c>
      <c r="L22" s="12">
        <f t="shared" si="11"/>
        <v>268.37842034032519</v>
      </c>
    </row>
    <row r="23" spans="3:12" ht="15" thickTop="1" x14ac:dyDescent="0.3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22"/>
  <sheetViews>
    <sheetView workbookViewId="0">
      <selection activeCell="P8" sqref="P8"/>
    </sheetView>
  </sheetViews>
  <sheetFormatPr defaultRowHeight="14.4" x14ac:dyDescent="0.3"/>
  <cols>
    <col min="3" max="3" width="26" customWidth="1"/>
  </cols>
  <sheetData>
    <row r="4" spans="3:12" x14ac:dyDescent="0.3">
      <c r="E4">
        <v>1</v>
      </c>
      <c r="F4">
        <v>2</v>
      </c>
      <c r="G4">
        <v>3</v>
      </c>
      <c r="H4">
        <v>4</v>
      </c>
      <c r="I4">
        <v>5</v>
      </c>
      <c r="J4">
        <v>6</v>
      </c>
      <c r="K4">
        <v>7</v>
      </c>
      <c r="L4">
        <v>8</v>
      </c>
    </row>
    <row r="6" spans="3:12" x14ac:dyDescent="0.3">
      <c r="C6" t="s">
        <v>8</v>
      </c>
      <c r="E6" s="3">
        <v>100</v>
      </c>
      <c r="F6" s="3">
        <f>E6*1.15</f>
        <v>114.99999999999999</v>
      </c>
      <c r="G6" s="3">
        <f t="shared" ref="G6:L6" si="0">F6*1.15</f>
        <v>132.24999999999997</v>
      </c>
      <c r="H6" s="3">
        <f t="shared" si="0"/>
        <v>152.08749999999995</v>
      </c>
      <c r="I6" s="3">
        <f t="shared" si="0"/>
        <v>174.90062499999993</v>
      </c>
      <c r="J6" s="3">
        <f t="shared" si="0"/>
        <v>201.13571874999991</v>
      </c>
      <c r="K6" s="3">
        <f t="shared" si="0"/>
        <v>231.30607656249987</v>
      </c>
      <c r="L6" s="3">
        <f t="shared" si="0"/>
        <v>266.00198804687483</v>
      </c>
    </row>
    <row r="7" spans="3:12" x14ac:dyDescent="0.3">
      <c r="C7" t="s">
        <v>240</v>
      </c>
      <c r="E7">
        <v>45</v>
      </c>
      <c r="F7">
        <v>45</v>
      </c>
      <c r="G7">
        <v>45</v>
      </c>
      <c r="H7">
        <v>45</v>
      </c>
      <c r="I7">
        <v>45</v>
      </c>
      <c r="J7">
        <v>45</v>
      </c>
      <c r="K7">
        <v>45</v>
      </c>
      <c r="L7">
        <v>45</v>
      </c>
    </row>
    <row r="8" spans="3:12" x14ac:dyDescent="0.3">
      <c r="C8" t="s">
        <v>241</v>
      </c>
      <c r="E8" s="27">
        <f>E7/365</f>
        <v>0.12328767123287671</v>
      </c>
      <c r="F8" s="27">
        <f t="shared" ref="F8:L8" si="1">F7/365</f>
        <v>0.12328767123287671</v>
      </c>
      <c r="G8" s="27">
        <f t="shared" si="1"/>
        <v>0.12328767123287671</v>
      </c>
      <c r="H8" s="27">
        <f t="shared" si="1"/>
        <v>0.12328767123287671</v>
      </c>
      <c r="I8" s="27">
        <f t="shared" si="1"/>
        <v>0.12328767123287671</v>
      </c>
      <c r="J8" s="27">
        <f t="shared" si="1"/>
        <v>0.12328767123287671</v>
      </c>
      <c r="K8" s="27">
        <f t="shared" si="1"/>
        <v>0.12328767123287671</v>
      </c>
      <c r="L8" s="27">
        <f t="shared" si="1"/>
        <v>0.12328767123287671</v>
      </c>
    </row>
    <row r="10" spans="3:12" x14ac:dyDescent="0.3">
      <c r="C10" t="s">
        <v>242</v>
      </c>
      <c r="E10">
        <v>0</v>
      </c>
      <c r="F10" s="3">
        <f>E13</f>
        <v>12.328767123287671</v>
      </c>
      <c r="G10" s="3">
        <f t="shared" ref="G10:L10" si="2">F13</f>
        <v>14.178082191780819</v>
      </c>
      <c r="H10" s="3">
        <f t="shared" si="2"/>
        <v>16.304794520547944</v>
      </c>
      <c r="I10" s="3">
        <f t="shared" si="2"/>
        <v>18.750513698630133</v>
      </c>
      <c r="J10" s="3">
        <f t="shared" si="2"/>
        <v>21.563090753424653</v>
      </c>
      <c r="K10" s="3">
        <f t="shared" si="2"/>
        <v>24.797554366438344</v>
      </c>
      <c r="L10" s="3">
        <f t="shared" si="2"/>
        <v>28.517187521404093</v>
      </c>
    </row>
    <row r="11" spans="3:12" x14ac:dyDescent="0.3">
      <c r="C11" t="s">
        <v>243</v>
      </c>
      <c r="E11" s="3">
        <f t="shared" ref="E11:L11" si="3">E6*E8</f>
        <v>12.328767123287671</v>
      </c>
      <c r="F11" s="3">
        <f t="shared" si="3"/>
        <v>14.178082191780819</v>
      </c>
      <c r="G11" s="3">
        <f t="shared" si="3"/>
        <v>16.30479452054794</v>
      </c>
      <c r="H11" s="3">
        <f t="shared" si="3"/>
        <v>18.75051369863013</v>
      </c>
      <c r="I11" s="3">
        <f t="shared" si="3"/>
        <v>21.56309075342465</v>
      </c>
      <c r="J11" s="3">
        <f t="shared" si="3"/>
        <v>24.797554366438344</v>
      </c>
      <c r="K11" s="3">
        <f t="shared" si="3"/>
        <v>28.517187521404093</v>
      </c>
      <c r="L11" s="3">
        <f t="shared" si="3"/>
        <v>32.794765649614703</v>
      </c>
    </row>
    <row r="12" spans="3:12" x14ac:dyDescent="0.3">
      <c r="C12" t="s">
        <v>244</v>
      </c>
      <c r="E12">
        <v>0</v>
      </c>
      <c r="F12" s="3">
        <f>E11</f>
        <v>12.328767123287671</v>
      </c>
      <c r="G12" s="3">
        <f t="shared" ref="G12:L12" si="4">F11</f>
        <v>14.178082191780819</v>
      </c>
      <c r="H12" s="3">
        <f t="shared" si="4"/>
        <v>16.30479452054794</v>
      </c>
      <c r="I12" s="3">
        <f t="shared" si="4"/>
        <v>18.75051369863013</v>
      </c>
      <c r="J12" s="3">
        <f t="shared" si="4"/>
        <v>21.56309075342465</v>
      </c>
      <c r="K12" s="3">
        <f t="shared" si="4"/>
        <v>24.797554366438344</v>
      </c>
      <c r="L12" s="3">
        <f t="shared" si="4"/>
        <v>28.517187521404093</v>
      </c>
    </row>
    <row r="13" spans="3:12" x14ac:dyDescent="0.3">
      <c r="C13" t="s">
        <v>245</v>
      </c>
      <c r="E13" s="3">
        <f>E10+E11-E12</f>
        <v>12.328767123287671</v>
      </c>
      <c r="F13" s="3">
        <f>F10+F11-F12</f>
        <v>14.178082191780819</v>
      </c>
      <c r="G13" s="3">
        <f t="shared" ref="G13:L13" si="5">G10+G11-G12</f>
        <v>16.304794520547944</v>
      </c>
      <c r="H13" s="3">
        <f t="shared" si="5"/>
        <v>18.750513698630133</v>
      </c>
      <c r="I13" s="3">
        <f t="shared" si="5"/>
        <v>21.563090753424653</v>
      </c>
      <c r="J13" s="3">
        <f t="shared" si="5"/>
        <v>24.797554366438344</v>
      </c>
      <c r="K13" s="3">
        <f t="shared" si="5"/>
        <v>28.517187521404093</v>
      </c>
      <c r="L13" s="3">
        <f t="shared" si="5"/>
        <v>32.794765649614703</v>
      </c>
    </row>
    <row r="15" spans="3:12" x14ac:dyDescent="0.3">
      <c r="C15" t="s">
        <v>246</v>
      </c>
      <c r="E15" s="3">
        <f>E13-D13</f>
        <v>12.328767123287671</v>
      </c>
      <c r="F15" s="3">
        <f>F13-E13</f>
        <v>1.8493150684931479</v>
      </c>
      <c r="G15" s="3">
        <f t="shared" ref="G15:L15" si="6">G13-F13</f>
        <v>2.126712328767125</v>
      </c>
      <c r="H15" s="3">
        <f t="shared" si="6"/>
        <v>2.4457191780821894</v>
      </c>
      <c r="I15" s="3">
        <f t="shared" si="6"/>
        <v>2.8125770547945201</v>
      </c>
      <c r="J15" s="3">
        <f t="shared" si="6"/>
        <v>3.2344636130136912</v>
      </c>
      <c r="K15" s="3">
        <f t="shared" si="6"/>
        <v>3.7196331549657486</v>
      </c>
      <c r="L15" s="3">
        <f t="shared" si="6"/>
        <v>4.2775781282106102</v>
      </c>
    </row>
    <row r="16" spans="3:12" x14ac:dyDescent="0.3">
      <c r="F16" s="3"/>
      <c r="G16" s="3"/>
      <c r="H16" s="3"/>
      <c r="I16" s="3"/>
      <c r="J16" s="3"/>
      <c r="K16" s="3"/>
      <c r="L16" s="3"/>
    </row>
    <row r="17" spans="3:12" x14ac:dyDescent="0.3">
      <c r="C17" t="s">
        <v>247</v>
      </c>
      <c r="E17" s="3">
        <f>E6-E13</f>
        <v>87.671232876712324</v>
      </c>
      <c r="F17" s="3">
        <f t="shared" ref="F17:L17" si="7">F12+F6-F11</f>
        <v>113.15068493150685</v>
      </c>
      <c r="G17" s="3">
        <f t="shared" si="7"/>
        <v>130.12328767123284</v>
      </c>
      <c r="H17" s="3">
        <f t="shared" si="7"/>
        <v>149.64178082191776</v>
      </c>
      <c r="I17" s="3">
        <f t="shared" si="7"/>
        <v>172.0880479452054</v>
      </c>
      <c r="J17" s="3">
        <f t="shared" si="7"/>
        <v>197.90125513698624</v>
      </c>
      <c r="K17" s="3">
        <f t="shared" si="7"/>
        <v>227.58644340753415</v>
      </c>
      <c r="L17" s="3">
        <f t="shared" si="7"/>
        <v>261.72440991866421</v>
      </c>
    </row>
    <row r="19" spans="3:12" x14ac:dyDescent="0.3">
      <c r="C19" t="s">
        <v>248</v>
      </c>
      <c r="E19" s="3">
        <f>E6</f>
        <v>100</v>
      </c>
      <c r="F19" s="3">
        <f t="shared" ref="F19:L19" si="8">F6</f>
        <v>114.99999999999999</v>
      </c>
      <c r="G19" s="3">
        <f t="shared" si="8"/>
        <v>132.24999999999997</v>
      </c>
      <c r="H19" s="3">
        <f t="shared" si="8"/>
        <v>152.08749999999995</v>
      </c>
      <c r="I19" s="3">
        <f t="shared" si="8"/>
        <v>174.90062499999993</v>
      </c>
      <c r="J19" s="3">
        <f t="shared" si="8"/>
        <v>201.13571874999991</v>
      </c>
      <c r="K19" s="3">
        <f t="shared" si="8"/>
        <v>231.30607656249987</v>
      </c>
      <c r="L19" s="3">
        <f t="shared" si="8"/>
        <v>266.00198804687483</v>
      </c>
    </row>
    <row r="20" spans="3:12" x14ac:dyDescent="0.3">
      <c r="C20" t="s">
        <v>249</v>
      </c>
      <c r="E20" s="3">
        <f>E15</f>
        <v>12.328767123287671</v>
      </c>
      <c r="F20" s="3">
        <f>F15</f>
        <v>1.8493150684931479</v>
      </c>
      <c r="G20" s="3">
        <f t="shared" ref="G20:L20" si="9">G15</f>
        <v>2.126712328767125</v>
      </c>
      <c r="H20" s="3">
        <f t="shared" si="9"/>
        <v>2.4457191780821894</v>
      </c>
      <c r="I20" s="3">
        <f t="shared" si="9"/>
        <v>2.8125770547945201</v>
      </c>
      <c r="J20" s="3">
        <f t="shared" si="9"/>
        <v>3.2344636130136912</v>
      </c>
      <c r="K20" s="3">
        <f t="shared" si="9"/>
        <v>3.7196331549657486</v>
      </c>
      <c r="L20" s="3">
        <f t="shared" si="9"/>
        <v>4.2775781282106102</v>
      </c>
    </row>
    <row r="21" spans="3:12" ht="15" thickBot="1" x14ac:dyDescent="0.35">
      <c r="C21" s="8" t="s">
        <v>250</v>
      </c>
      <c r="D21" s="8"/>
      <c r="E21" s="12">
        <f>E19-E20</f>
        <v>87.671232876712324</v>
      </c>
      <c r="F21" s="12">
        <f>F19-F20</f>
        <v>113.15068493150685</v>
      </c>
      <c r="G21" s="12">
        <f t="shared" ref="G21:L21" si="10">G19-G20</f>
        <v>130.12328767123284</v>
      </c>
      <c r="H21" s="12">
        <f t="shared" si="10"/>
        <v>149.64178082191776</v>
      </c>
      <c r="I21" s="12">
        <f t="shared" si="10"/>
        <v>172.0880479452054</v>
      </c>
      <c r="J21" s="12">
        <f t="shared" si="10"/>
        <v>197.90125513698621</v>
      </c>
      <c r="K21" s="12">
        <f t="shared" si="10"/>
        <v>227.58644340753412</v>
      </c>
      <c r="L21" s="12">
        <f t="shared" si="10"/>
        <v>261.72440991866421</v>
      </c>
    </row>
    <row r="22" spans="3:12" ht="15" thickTop="1" x14ac:dyDescent="0.3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22"/>
  <sheetViews>
    <sheetView workbookViewId="0">
      <selection activeCell="D22" sqref="D22"/>
    </sheetView>
  </sheetViews>
  <sheetFormatPr defaultRowHeight="14.4" x14ac:dyDescent="0.3"/>
  <cols>
    <col min="3" max="3" width="26" customWidth="1"/>
  </cols>
  <sheetData>
    <row r="4" spans="3:12" x14ac:dyDescent="0.3">
      <c r="E4">
        <v>1</v>
      </c>
      <c r="F4">
        <v>2</v>
      </c>
      <c r="G4">
        <v>3</v>
      </c>
      <c r="H4">
        <v>4</v>
      </c>
      <c r="I4">
        <v>5</v>
      </c>
      <c r="J4">
        <v>6</v>
      </c>
      <c r="K4">
        <v>7</v>
      </c>
      <c r="L4">
        <v>8</v>
      </c>
    </row>
    <row r="6" spans="3:12" x14ac:dyDescent="0.3">
      <c r="C6" t="s">
        <v>8</v>
      </c>
      <c r="E6">
        <v>100</v>
      </c>
      <c r="F6">
        <f>E6</f>
        <v>100</v>
      </c>
      <c r="G6">
        <f t="shared" ref="G6:L6" si="0">F6</f>
        <v>100</v>
      </c>
      <c r="H6">
        <f t="shared" si="0"/>
        <v>100</v>
      </c>
      <c r="I6">
        <f t="shared" si="0"/>
        <v>100</v>
      </c>
      <c r="J6">
        <f t="shared" si="0"/>
        <v>100</v>
      </c>
      <c r="K6">
        <f t="shared" si="0"/>
        <v>100</v>
      </c>
      <c r="L6">
        <f t="shared" si="0"/>
        <v>100</v>
      </c>
    </row>
    <row r="7" spans="3:12" x14ac:dyDescent="0.3">
      <c r="C7" t="s">
        <v>240</v>
      </c>
      <c r="E7">
        <v>30</v>
      </c>
      <c r="F7">
        <v>30</v>
      </c>
      <c r="G7">
        <v>30</v>
      </c>
      <c r="H7">
        <v>30</v>
      </c>
      <c r="I7">
        <v>30</v>
      </c>
      <c r="J7">
        <v>30</v>
      </c>
      <c r="K7">
        <v>30</v>
      </c>
      <c r="L7">
        <v>30</v>
      </c>
    </row>
    <row r="8" spans="3:12" x14ac:dyDescent="0.3">
      <c r="C8" t="s">
        <v>241</v>
      </c>
      <c r="E8" s="27">
        <f>E7/365</f>
        <v>8.2191780821917804E-2</v>
      </c>
      <c r="F8" s="27">
        <f t="shared" ref="F8:L8" si="1">F7/365</f>
        <v>8.2191780821917804E-2</v>
      </c>
      <c r="G8" s="27">
        <f t="shared" si="1"/>
        <v>8.2191780821917804E-2</v>
      </c>
      <c r="H8" s="27">
        <f t="shared" si="1"/>
        <v>8.2191780821917804E-2</v>
      </c>
      <c r="I8" s="27">
        <f t="shared" si="1"/>
        <v>8.2191780821917804E-2</v>
      </c>
      <c r="J8" s="27">
        <f t="shared" si="1"/>
        <v>8.2191780821917804E-2</v>
      </c>
      <c r="K8" s="27">
        <f t="shared" si="1"/>
        <v>8.2191780821917804E-2</v>
      </c>
      <c r="L8" s="27">
        <f t="shared" si="1"/>
        <v>8.2191780821917804E-2</v>
      </c>
    </row>
    <row r="10" spans="3:12" x14ac:dyDescent="0.3">
      <c r="C10" t="s">
        <v>242</v>
      </c>
      <c r="E10">
        <v>0</v>
      </c>
      <c r="F10" s="3">
        <f>E13</f>
        <v>8.2191780821917799</v>
      </c>
      <c r="G10" s="3">
        <f t="shared" ref="G10:L10" si="2">F13</f>
        <v>8.2191780821917799</v>
      </c>
      <c r="H10" s="3">
        <f t="shared" si="2"/>
        <v>8.2191780821917799</v>
      </c>
      <c r="I10" s="3">
        <f t="shared" si="2"/>
        <v>8.2191780821917799</v>
      </c>
      <c r="J10" s="3">
        <f t="shared" si="2"/>
        <v>8.2191780821917799</v>
      </c>
      <c r="K10" s="3">
        <f t="shared" si="2"/>
        <v>8.2191780821917799</v>
      </c>
      <c r="L10" s="3">
        <f t="shared" si="2"/>
        <v>8.2191780821917799</v>
      </c>
    </row>
    <row r="11" spans="3:12" x14ac:dyDescent="0.3">
      <c r="C11" t="s">
        <v>243</v>
      </c>
      <c r="E11" s="3">
        <f t="shared" ref="E11:L11" si="3">E6*E8</f>
        <v>8.2191780821917799</v>
      </c>
      <c r="F11" s="3">
        <f t="shared" si="3"/>
        <v>8.2191780821917799</v>
      </c>
      <c r="G11" s="3">
        <f t="shared" si="3"/>
        <v>8.2191780821917799</v>
      </c>
      <c r="H11" s="3">
        <f t="shared" si="3"/>
        <v>8.2191780821917799</v>
      </c>
      <c r="I11" s="3">
        <f t="shared" si="3"/>
        <v>8.2191780821917799</v>
      </c>
      <c r="J11" s="3">
        <f t="shared" si="3"/>
        <v>8.2191780821917799</v>
      </c>
      <c r="K11" s="3">
        <f t="shared" si="3"/>
        <v>8.2191780821917799</v>
      </c>
      <c r="L11" s="3">
        <f t="shared" si="3"/>
        <v>8.2191780821917799</v>
      </c>
    </row>
    <row r="12" spans="3:12" x14ac:dyDescent="0.3">
      <c r="C12" t="s">
        <v>244</v>
      </c>
      <c r="E12">
        <v>0</v>
      </c>
      <c r="F12" s="3">
        <f>E11</f>
        <v>8.2191780821917799</v>
      </c>
      <c r="G12" s="3">
        <f t="shared" ref="G12:L12" si="4">F11</f>
        <v>8.2191780821917799</v>
      </c>
      <c r="H12" s="3">
        <f t="shared" si="4"/>
        <v>8.2191780821917799</v>
      </c>
      <c r="I12" s="3">
        <f t="shared" si="4"/>
        <v>8.2191780821917799</v>
      </c>
      <c r="J12" s="3">
        <f t="shared" si="4"/>
        <v>8.2191780821917799</v>
      </c>
      <c r="K12" s="3">
        <f t="shared" si="4"/>
        <v>8.2191780821917799</v>
      </c>
      <c r="L12" s="3">
        <f t="shared" si="4"/>
        <v>8.2191780821917799</v>
      </c>
    </row>
    <row r="13" spans="3:12" x14ac:dyDescent="0.3">
      <c r="C13" t="s">
        <v>245</v>
      </c>
      <c r="E13" s="3">
        <f>E10+E11-E12</f>
        <v>8.2191780821917799</v>
      </c>
      <c r="F13" s="3">
        <f>F10+F11-F12</f>
        <v>8.2191780821917799</v>
      </c>
      <c r="G13" s="3">
        <f t="shared" ref="G13:L13" si="5">G10+G11-G12</f>
        <v>8.2191780821917799</v>
      </c>
      <c r="H13" s="3">
        <f t="shared" si="5"/>
        <v>8.2191780821917799</v>
      </c>
      <c r="I13" s="3">
        <f t="shared" si="5"/>
        <v>8.2191780821917799</v>
      </c>
      <c r="J13" s="3">
        <f t="shared" si="5"/>
        <v>8.2191780821917799</v>
      </c>
      <c r="K13" s="3">
        <f t="shared" si="5"/>
        <v>8.2191780821917799</v>
      </c>
      <c r="L13" s="3">
        <f t="shared" si="5"/>
        <v>8.2191780821917799</v>
      </c>
    </row>
    <row r="15" spans="3:12" x14ac:dyDescent="0.3">
      <c r="C15" t="s">
        <v>246</v>
      </c>
      <c r="E15" s="3">
        <f>E13-D13</f>
        <v>8.2191780821917799</v>
      </c>
      <c r="F15" s="3">
        <f>F13-E13</f>
        <v>0</v>
      </c>
      <c r="G15" s="3">
        <f t="shared" ref="G15:L15" si="6">G13-F13</f>
        <v>0</v>
      </c>
      <c r="H15" s="3">
        <f t="shared" si="6"/>
        <v>0</v>
      </c>
      <c r="I15" s="3">
        <f t="shared" si="6"/>
        <v>0</v>
      </c>
      <c r="J15" s="3">
        <f t="shared" si="6"/>
        <v>0</v>
      </c>
      <c r="K15" s="3">
        <f t="shared" si="6"/>
        <v>0</v>
      </c>
      <c r="L15" s="3">
        <f t="shared" si="6"/>
        <v>0</v>
      </c>
    </row>
    <row r="16" spans="3:12" x14ac:dyDescent="0.3">
      <c r="F16" s="3"/>
      <c r="G16" s="3"/>
      <c r="H16" s="3"/>
      <c r="I16" s="3"/>
      <c r="J16" s="3"/>
      <c r="K16" s="3"/>
      <c r="L16" s="3"/>
    </row>
    <row r="17" spans="3:12" x14ac:dyDescent="0.3">
      <c r="C17" t="s">
        <v>247</v>
      </c>
      <c r="E17" s="3">
        <f>E6-E13</f>
        <v>91.780821917808225</v>
      </c>
      <c r="F17" s="3">
        <f t="shared" ref="F17:L17" si="7">F12+F6-F11</f>
        <v>100</v>
      </c>
      <c r="G17" s="3">
        <f t="shared" si="7"/>
        <v>100</v>
      </c>
      <c r="H17" s="3">
        <f t="shared" si="7"/>
        <v>100</v>
      </c>
      <c r="I17" s="3">
        <f t="shared" si="7"/>
        <v>100</v>
      </c>
      <c r="J17" s="3">
        <f t="shared" si="7"/>
        <v>100</v>
      </c>
      <c r="K17" s="3">
        <f t="shared" si="7"/>
        <v>100</v>
      </c>
      <c r="L17" s="3">
        <f t="shared" si="7"/>
        <v>100</v>
      </c>
    </row>
    <row r="19" spans="3:12" x14ac:dyDescent="0.3">
      <c r="C19" t="s">
        <v>248</v>
      </c>
      <c r="E19">
        <f>E6</f>
        <v>100</v>
      </c>
      <c r="F19">
        <f t="shared" ref="F19:L19" si="8">F6</f>
        <v>100</v>
      </c>
      <c r="G19">
        <f t="shared" si="8"/>
        <v>100</v>
      </c>
      <c r="H19">
        <f t="shared" si="8"/>
        <v>100</v>
      </c>
      <c r="I19">
        <f t="shared" si="8"/>
        <v>100</v>
      </c>
      <c r="J19">
        <f t="shared" si="8"/>
        <v>100</v>
      </c>
      <c r="K19">
        <f t="shared" si="8"/>
        <v>100</v>
      </c>
      <c r="L19">
        <f t="shared" si="8"/>
        <v>100</v>
      </c>
    </row>
    <row r="20" spans="3:12" x14ac:dyDescent="0.3">
      <c r="C20" t="s">
        <v>249</v>
      </c>
      <c r="E20" s="3">
        <f>E15</f>
        <v>8.2191780821917799</v>
      </c>
      <c r="F20" s="3">
        <f>F15</f>
        <v>0</v>
      </c>
      <c r="G20" s="3">
        <f t="shared" ref="G20:L20" si="9">G15</f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</row>
    <row r="21" spans="3:12" ht="15" thickBot="1" x14ac:dyDescent="0.35">
      <c r="C21" s="8" t="s">
        <v>250</v>
      </c>
      <c r="D21" s="8"/>
      <c r="E21" s="12">
        <f>E19-E20</f>
        <v>91.780821917808225</v>
      </c>
      <c r="F21" s="12">
        <f>F19-F20</f>
        <v>100</v>
      </c>
      <c r="G21" s="12">
        <f t="shared" ref="G21:L21" si="10">G19-G20</f>
        <v>100</v>
      </c>
      <c r="H21" s="12">
        <f t="shared" si="10"/>
        <v>100</v>
      </c>
      <c r="I21" s="12">
        <f t="shared" si="10"/>
        <v>100</v>
      </c>
      <c r="J21" s="12">
        <f t="shared" si="10"/>
        <v>100</v>
      </c>
      <c r="K21" s="12">
        <f t="shared" si="10"/>
        <v>100</v>
      </c>
      <c r="L21" s="12">
        <f t="shared" si="10"/>
        <v>100</v>
      </c>
    </row>
    <row r="22" spans="3:12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57</vt:i4>
      </vt:variant>
    </vt:vector>
  </HeadingPairs>
  <TitlesOfParts>
    <vt:vector size="57" baseType="lpstr">
      <vt:lpstr>Simple Case</vt:lpstr>
      <vt:lpstr>Simple Case No Growth</vt:lpstr>
      <vt:lpstr>Simple Case - Growth</vt:lpstr>
      <vt:lpstr>Simple Case Impairment</vt:lpstr>
      <vt:lpstr>Simple Case Hedge</vt:lpstr>
      <vt:lpstr>Simple Case Gamble</vt:lpstr>
      <vt:lpstr>Accounts Payable not Debt</vt:lpstr>
      <vt:lpstr>AR With Growth</vt:lpstr>
      <vt:lpstr>AR No Growth</vt:lpstr>
      <vt:lpstr>AR one Period</vt:lpstr>
      <vt:lpstr>Deferred Tax with Growth</vt:lpstr>
      <vt:lpstr>Depreciation Growth</vt:lpstr>
      <vt:lpstr>Read of Samsung CF</vt:lpstr>
      <vt:lpstr>Samsung Cash Flow</vt:lpstr>
      <vt:lpstr>Depreciation No Growth</vt:lpstr>
      <vt:lpstr>Samsung Assets</vt:lpstr>
      <vt:lpstr>Interest Rate Swap Floating</vt:lpstr>
      <vt:lpstr>Interest Rate Swap Fixed</vt:lpstr>
      <vt:lpstr>Mark to Market Swap</vt:lpstr>
      <vt:lpstr>Mark to Market (2)</vt:lpstr>
      <vt:lpstr>Hedge Accounting</vt:lpstr>
      <vt:lpstr>Hedge Accounting (2)</vt:lpstr>
      <vt:lpstr>Derivative</vt:lpstr>
      <vt:lpstr>Foreign Exchange</vt:lpstr>
      <vt:lpstr>Minority Interest</vt:lpstr>
      <vt:lpstr>Translation to Currency</vt:lpstr>
      <vt:lpstr>Practice Exam Question 8 </vt:lpstr>
      <vt:lpstr>Final Exam - Question 1</vt:lpstr>
      <vt:lpstr>Final Exam Question 2</vt:lpstr>
      <vt:lpstr>Final Exam Question 3</vt:lpstr>
      <vt:lpstr>Final Exam Question 4</vt:lpstr>
      <vt:lpstr>Final Exam Question 5</vt:lpstr>
      <vt:lpstr>Final Exam Question 6</vt:lpstr>
      <vt:lpstr>Final Exam 11</vt:lpstr>
      <vt:lpstr>Final Exam 12</vt:lpstr>
      <vt:lpstr>Final M&amp;A Question</vt:lpstr>
      <vt:lpstr>Final Exam Net Debt</vt:lpstr>
      <vt:lpstr>Practice Exam 2</vt:lpstr>
      <vt:lpstr>Practice Exam 3</vt:lpstr>
      <vt:lpstr>Practice Exam 5</vt:lpstr>
      <vt:lpstr>Practice Exam 6</vt:lpstr>
      <vt:lpstr>Practice Exam 7</vt:lpstr>
      <vt:lpstr>Practice Exam 10</vt:lpstr>
      <vt:lpstr>Practice Exam 12</vt:lpstr>
      <vt:lpstr>Practice Exam 13</vt:lpstr>
      <vt:lpstr>Practice Exam 14</vt:lpstr>
      <vt:lpstr>Practice Exam 15</vt:lpstr>
      <vt:lpstr>Practice Exam 20</vt:lpstr>
      <vt:lpstr>Practice Exam FFO</vt:lpstr>
      <vt:lpstr>Practice Exam 14 (2)</vt:lpstr>
      <vt:lpstr>Practice Exam 10 (2)</vt:lpstr>
      <vt:lpstr>Practice EBITDA</vt:lpstr>
      <vt:lpstr>Practice EBITDA Fin</vt:lpstr>
      <vt:lpstr>Practice question M&amp;A Answer</vt:lpstr>
      <vt:lpstr>Test Question a answer</vt:lpstr>
      <vt:lpstr>Practice Working Cap Change</vt:lpstr>
      <vt:lpstr>Sample Test Qa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Lewenski</dc:creator>
  <cp:lastModifiedBy>Monika Lewenski</cp:lastModifiedBy>
  <dcterms:created xsi:type="dcterms:W3CDTF">2016-03-08T09:15:30Z</dcterms:created>
  <dcterms:modified xsi:type="dcterms:W3CDTF">2016-03-14T23:32:27Z</dcterms:modified>
</cp:coreProperties>
</file>